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45210</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64194-2021.xlsx", "A 64194-2021")</f>
        <v/>
      </c>
      <c r="T2">
        <f>HYPERLINK("https://klasma.github.io/Logging_2029/kartor/A 64194-2021.png", "A 64194-2021")</f>
        <v/>
      </c>
      <c r="U2">
        <f>HYPERLINK("https://klasma.github.io/Logging_2029/knärot/A 64194-2021.png", "A 64194-2021")</f>
        <v/>
      </c>
      <c r="V2">
        <f>HYPERLINK("https://klasma.github.io/Logging_2029/klagomål/A 64194-2021.docx", "A 64194-2021")</f>
        <v/>
      </c>
      <c r="W2">
        <f>HYPERLINK("https://klasma.github.io/Logging_2029/klagomålsmail/A 64194-2021.docx", "A 64194-2021")</f>
        <v/>
      </c>
      <c r="X2">
        <f>HYPERLINK("https://klasma.github.io/Logging_2029/tillsyn/A 64194-2021.docx", "A 64194-2021")</f>
        <v/>
      </c>
      <c r="Y2">
        <f>HYPERLINK("https://klasma.github.io/Logging_2029/tillsynsmail/A 64194-2021.docx", "A 64194-2021")</f>
        <v/>
      </c>
    </row>
    <row r="3" ht="15" customHeight="1">
      <c r="A3" t="inlineStr">
        <is>
          <t>A 10784-2020</t>
        </is>
      </c>
      <c r="B3" s="1" t="n">
        <v>43888</v>
      </c>
      <c r="C3" s="1" t="n">
        <v>45210</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10784-2020.xlsx", "A 10784-2020")</f>
        <v/>
      </c>
      <c r="T3">
        <f>HYPERLINK("https://klasma.github.io/Logging_2061/kartor/A 10784-2020.png", "A 10784-2020")</f>
        <v/>
      </c>
      <c r="U3">
        <f>HYPERLINK("https://klasma.github.io/Logging_2061/knärot/A 10784-2020.png", "A 10784-2020")</f>
        <v/>
      </c>
      <c r="V3">
        <f>HYPERLINK("https://klasma.github.io/Logging_2061/klagomål/A 10784-2020.docx", "A 10784-2020")</f>
        <v/>
      </c>
      <c r="W3">
        <f>HYPERLINK("https://klasma.github.io/Logging_2061/klagomålsmail/A 10784-2020.docx", "A 10784-2020")</f>
        <v/>
      </c>
      <c r="X3">
        <f>HYPERLINK("https://klasma.github.io/Logging_2061/tillsyn/A 10784-2020.docx", "A 10784-2020")</f>
        <v/>
      </c>
      <c r="Y3">
        <f>HYPERLINK("https://klasma.github.io/Logging_2061/tillsynsmail/A 10784-2020.docx", "A 10784-2020")</f>
        <v/>
      </c>
    </row>
    <row r="4" ht="15" customHeight="1">
      <c r="A4" t="inlineStr">
        <is>
          <t>A 34322-2022</t>
        </is>
      </c>
      <c r="B4" s="1" t="n">
        <v>44792</v>
      </c>
      <c r="C4" s="1" t="n">
        <v>45210</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34322-2022.xlsx", "A 34322-2022")</f>
        <v/>
      </c>
      <c r="T4">
        <f>HYPERLINK("https://klasma.github.io/Logging_2085/kartor/A 34322-2022.png", "A 34322-2022")</f>
        <v/>
      </c>
      <c r="V4">
        <f>HYPERLINK("https://klasma.github.io/Logging_2085/klagomål/A 34322-2022.docx", "A 34322-2022")</f>
        <v/>
      </c>
      <c r="W4">
        <f>HYPERLINK("https://klasma.github.io/Logging_2085/klagomålsmail/A 34322-2022.docx", "A 34322-2022")</f>
        <v/>
      </c>
      <c r="X4">
        <f>HYPERLINK("https://klasma.github.io/Logging_2085/tillsyn/A 34322-2022.docx", "A 34322-2022")</f>
        <v/>
      </c>
      <c r="Y4">
        <f>HYPERLINK("https://klasma.github.io/Logging_2085/tillsynsmail/A 34322-2022.docx", "A 34322-2022")</f>
        <v/>
      </c>
    </row>
    <row r="5" ht="15" customHeight="1">
      <c r="A5" t="inlineStr">
        <is>
          <t>A 41854-2022</t>
        </is>
      </c>
      <c r="B5" s="1" t="n">
        <v>44829</v>
      </c>
      <c r="C5" s="1" t="n">
        <v>45210</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41854-2022.xlsx", "A 41854-2022")</f>
        <v/>
      </c>
      <c r="T5">
        <f>HYPERLINK("https://klasma.github.io/Logging_2039/kartor/A 41854-2022.png", "A 41854-2022")</f>
        <v/>
      </c>
      <c r="V5">
        <f>HYPERLINK("https://klasma.github.io/Logging_2039/klagomål/A 41854-2022.docx", "A 41854-2022")</f>
        <v/>
      </c>
      <c r="W5">
        <f>HYPERLINK("https://klasma.github.io/Logging_2039/klagomålsmail/A 41854-2022.docx", "A 41854-2022")</f>
        <v/>
      </c>
      <c r="X5">
        <f>HYPERLINK("https://klasma.github.io/Logging_2039/tillsyn/A 41854-2022.docx", "A 41854-2022")</f>
        <v/>
      </c>
      <c r="Y5">
        <f>HYPERLINK("https://klasma.github.io/Logging_2039/tillsynsmail/A 41854-2022.docx", "A 41854-2022")</f>
        <v/>
      </c>
    </row>
    <row r="6" ht="15" customHeight="1">
      <c r="A6" t="inlineStr">
        <is>
          <t>A 9053-2020</t>
        </is>
      </c>
      <c r="B6" s="1" t="n">
        <v>43879</v>
      </c>
      <c r="C6" s="1" t="n">
        <v>45210</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9053-2020.xlsx", "A 9053-2020")</f>
        <v/>
      </c>
      <c r="T6">
        <f>HYPERLINK("https://klasma.github.io/Logging_2083/kartor/A 9053-2020.png", "A 9053-2020")</f>
        <v/>
      </c>
      <c r="U6">
        <f>HYPERLINK("https://klasma.github.io/Logging_2083/knärot/A 9053-2020.png", "A 9053-2020")</f>
        <v/>
      </c>
      <c r="V6">
        <f>HYPERLINK("https://klasma.github.io/Logging_2083/klagomål/A 9053-2020.docx", "A 9053-2020")</f>
        <v/>
      </c>
      <c r="W6">
        <f>HYPERLINK("https://klasma.github.io/Logging_2083/klagomålsmail/A 9053-2020.docx", "A 9053-2020")</f>
        <v/>
      </c>
      <c r="X6">
        <f>HYPERLINK("https://klasma.github.io/Logging_2083/tillsyn/A 9053-2020.docx", "A 9053-2020")</f>
        <v/>
      </c>
      <c r="Y6">
        <f>HYPERLINK("https://klasma.github.io/Logging_2083/tillsynsmail/A 9053-2020.docx", "A 9053-2020")</f>
        <v/>
      </c>
    </row>
    <row r="7" ht="15" customHeight="1">
      <c r="A7" t="inlineStr">
        <is>
          <t>A 49753-2019</t>
        </is>
      </c>
      <c r="B7" s="1" t="n">
        <v>43731</v>
      </c>
      <c r="C7" s="1" t="n">
        <v>45210</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49753-2019.xlsx", "A 49753-2019")</f>
        <v/>
      </c>
      <c r="T7">
        <f>HYPERLINK("https://klasma.github.io/Logging_2080/kartor/A 49753-2019.png", "A 49753-2019")</f>
        <v/>
      </c>
      <c r="V7">
        <f>HYPERLINK("https://klasma.github.io/Logging_2080/klagomål/A 49753-2019.docx", "A 49753-2019")</f>
        <v/>
      </c>
      <c r="W7">
        <f>HYPERLINK("https://klasma.github.io/Logging_2080/klagomålsmail/A 49753-2019.docx", "A 49753-2019")</f>
        <v/>
      </c>
      <c r="X7">
        <f>HYPERLINK("https://klasma.github.io/Logging_2080/tillsyn/A 49753-2019.docx", "A 49753-2019")</f>
        <v/>
      </c>
      <c r="Y7">
        <f>HYPERLINK("https://klasma.github.io/Logging_2080/tillsynsmail/A 49753-2019.docx", "A 49753-2019")</f>
        <v/>
      </c>
    </row>
    <row r="8" ht="15" customHeight="1">
      <c r="A8" t="inlineStr">
        <is>
          <t>A 28623-2020</t>
        </is>
      </c>
      <c r="B8" s="1" t="n">
        <v>43999</v>
      </c>
      <c r="C8" s="1" t="n">
        <v>45210</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28623-2020.xlsx", "A 28623-2020")</f>
        <v/>
      </c>
      <c r="T8">
        <f>HYPERLINK("https://klasma.github.io/Logging_2039/kartor/A 28623-2020.png", "A 28623-2020")</f>
        <v/>
      </c>
      <c r="V8">
        <f>HYPERLINK("https://klasma.github.io/Logging_2039/klagomål/A 28623-2020.docx", "A 28623-2020")</f>
        <v/>
      </c>
      <c r="W8">
        <f>HYPERLINK("https://klasma.github.io/Logging_2039/klagomålsmail/A 28623-2020.docx", "A 28623-2020")</f>
        <v/>
      </c>
      <c r="X8">
        <f>HYPERLINK("https://klasma.github.io/Logging_2039/tillsyn/A 28623-2020.docx", "A 28623-2020")</f>
        <v/>
      </c>
      <c r="Y8">
        <f>HYPERLINK("https://klasma.github.io/Logging_2039/tillsynsmail/A 28623-2020.docx", "A 28623-2020")</f>
        <v/>
      </c>
    </row>
    <row r="9" ht="15" customHeight="1">
      <c r="A9" t="inlineStr">
        <is>
          <t>A 50690-2020</t>
        </is>
      </c>
      <c r="B9" s="1" t="n">
        <v>44111</v>
      </c>
      <c r="C9" s="1" t="n">
        <v>45210</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50690-2020.xlsx", "A 50690-2020")</f>
        <v/>
      </c>
      <c r="T9">
        <f>HYPERLINK("https://klasma.github.io/Logging_2062/kartor/A 50690-2020.png", "A 50690-2020")</f>
        <v/>
      </c>
      <c r="V9">
        <f>HYPERLINK("https://klasma.github.io/Logging_2062/klagomål/A 50690-2020.docx", "A 50690-2020")</f>
        <v/>
      </c>
      <c r="W9">
        <f>HYPERLINK("https://klasma.github.io/Logging_2062/klagomålsmail/A 50690-2020.docx", "A 50690-2020")</f>
        <v/>
      </c>
      <c r="X9">
        <f>HYPERLINK("https://klasma.github.io/Logging_2062/tillsyn/A 50690-2020.docx", "A 50690-2020")</f>
        <v/>
      </c>
      <c r="Y9">
        <f>HYPERLINK("https://klasma.github.io/Logging_2062/tillsynsmail/A 50690-2020.docx", "A 50690-2020")</f>
        <v/>
      </c>
    </row>
    <row r="10" ht="15" customHeight="1">
      <c r="A10" t="inlineStr">
        <is>
          <t>A 69045-2018</t>
        </is>
      </c>
      <c r="B10" s="1" t="n">
        <v>43440</v>
      </c>
      <c r="C10" s="1" t="n">
        <v>45210</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69045-2018.xlsx", "A 69045-2018")</f>
        <v/>
      </c>
      <c r="T10">
        <f>HYPERLINK("https://klasma.github.io/Logging_2061/kartor/A 69045-2018.png", "A 69045-2018")</f>
        <v/>
      </c>
      <c r="U10">
        <f>HYPERLINK("https://klasma.github.io/Logging_2061/knärot/A 69045-2018.png", "A 69045-2018")</f>
        <v/>
      </c>
      <c r="V10">
        <f>HYPERLINK("https://klasma.github.io/Logging_2061/klagomål/A 69045-2018.docx", "A 69045-2018")</f>
        <v/>
      </c>
      <c r="W10">
        <f>HYPERLINK("https://klasma.github.io/Logging_2061/klagomålsmail/A 69045-2018.docx", "A 69045-2018")</f>
        <v/>
      </c>
      <c r="X10">
        <f>HYPERLINK("https://klasma.github.io/Logging_2061/tillsyn/A 69045-2018.docx", "A 69045-2018")</f>
        <v/>
      </c>
      <c r="Y10">
        <f>HYPERLINK("https://klasma.github.io/Logging_2061/tillsynsmail/A 69045-2018.docx", "A 69045-2018")</f>
        <v/>
      </c>
    </row>
    <row r="11" ht="15" customHeight="1">
      <c r="A11" t="inlineStr">
        <is>
          <t>A 58548-2022</t>
        </is>
      </c>
      <c r="B11" s="1" t="n">
        <v>44902</v>
      </c>
      <c r="C11" s="1" t="n">
        <v>45210</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58548-2022.xlsx", "A 58548-2022")</f>
        <v/>
      </c>
      <c r="T11">
        <f>HYPERLINK("https://klasma.github.io/Logging_2083/kartor/A 58548-2022.png", "A 58548-2022")</f>
        <v/>
      </c>
      <c r="U11">
        <f>HYPERLINK("https://klasma.github.io/Logging_2083/knärot/A 58548-2022.png", "A 58548-2022")</f>
        <v/>
      </c>
      <c r="V11">
        <f>HYPERLINK("https://klasma.github.io/Logging_2083/klagomål/A 58548-2022.docx", "A 58548-2022")</f>
        <v/>
      </c>
      <c r="W11">
        <f>HYPERLINK("https://klasma.github.io/Logging_2083/klagomålsmail/A 58548-2022.docx", "A 58548-2022")</f>
        <v/>
      </c>
      <c r="X11">
        <f>HYPERLINK("https://klasma.github.io/Logging_2083/tillsyn/A 58548-2022.docx", "A 58548-2022")</f>
        <v/>
      </c>
      <c r="Y11">
        <f>HYPERLINK("https://klasma.github.io/Logging_2083/tillsynsmail/A 58548-2022.docx", "A 58548-2022")</f>
        <v/>
      </c>
    </row>
    <row r="12" ht="15" customHeight="1">
      <c r="A12" t="inlineStr">
        <is>
          <t>A 1135-2023</t>
        </is>
      </c>
      <c r="B12" s="1" t="n">
        <v>44935</v>
      </c>
      <c r="C12" s="1" t="n">
        <v>45210</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1135-2023.xlsx", "A 1135-2023")</f>
        <v/>
      </c>
      <c r="T12">
        <f>HYPERLINK("https://klasma.github.io/Logging_2034/kartor/A 1135-2023.png", "A 1135-2023")</f>
        <v/>
      </c>
      <c r="U12">
        <f>HYPERLINK("https://klasma.github.io/Logging_2034/knärot/A 1135-2023.png", "A 1135-2023")</f>
        <v/>
      </c>
      <c r="V12">
        <f>HYPERLINK("https://klasma.github.io/Logging_2034/klagomål/A 1135-2023.docx", "A 1135-2023")</f>
        <v/>
      </c>
      <c r="W12">
        <f>HYPERLINK("https://klasma.github.io/Logging_2034/klagomålsmail/A 1135-2023.docx", "A 1135-2023")</f>
        <v/>
      </c>
      <c r="X12">
        <f>HYPERLINK("https://klasma.github.io/Logging_2034/tillsyn/A 1135-2023.docx", "A 1135-2023")</f>
        <v/>
      </c>
      <c r="Y12">
        <f>HYPERLINK("https://klasma.github.io/Logging_2034/tillsynsmail/A 1135-2023.docx", "A 1135-2023")</f>
        <v/>
      </c>
    </row>
    <row r="13" ht="15" customHeight="1">
      <c r="A13" t="inlineStr">
        <is>
          <t>A 30241-2023</t>
        </is>
      </c>
      <c r="B13" s="1" t="n">
        <v>45110</v>
      </c>
      <c r="C13" s="1" t="n">
        <v>45210</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30241-2023.xlsx", "A 30241-2023")</f>
        <v/>
      </c>
      <c r="T13">
        <f>HYPERLINK("https://klasma.github.io/Logging_2039/kartor/A 30241-2023.png", "A 30241-2023")</f>
        <v/>
      </c>
      <c r="V13">
        <f>HYPERLINK("https://klasma.github.io/Logging_2039/klagomål/A 30241-2023.docx", "A 30241-2023")</f>
        <v/>
      </c>
      <c r="W13">
        <f>HYPERLINK("https://klasma.github.io/Logging_2039/klagomålsmail/A 30241-2023.docx", "A 30241-2023")</f>
        <v/>
      </c>
      <c r="X13">
        <f>HYPERLINK("https://klasma.github.io/Logging_2039/tillsyn/A 30241-2023.docx", "A 30241-2023")</f>
        <v/>
      </c>
      <c r="Y13">
        <f>HYPERLINK("https://klasma.github.io/Logging_2039/tillsynsmail/A 30241-2023.docx", "A 30241-2023")</f>
        <v/>
      </c>
    </row>
    <row r="14" ht="15" customHeight="1">
      <c r="A14" t="inlineStr">
        <is>
          <t>A 944-2023</t>
        </is>
      </c>
      <c r="B14" s="1" t="n">
        <v>44933</v>
      </c>
      <c r="C14" s="1" t="n">
        <v>45210</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944-2023.xlsx", "A 944-2023")</f>
        <v/>
      </c>
      <c r="T14">
        <f>HYPERLINK("https://klasma.github.io/Logging_2080/kartor/A 944-2023.png", "A 944-2023")</f>
        <v/>
      </c>
      <c r="U14">
        <f>HYPERLINK("https://klasma.github.io/Logging_2080/knärot/A 944-2023.png", "A 944-2023")</f>
        <v/>
      </c>
      <c r="V14">
        <f>HYPERLINK("https://klasma.github.io/Logging_2080/klagomål/A 944-2023.docx", "A 944-2023")</f>
        <v/>
      </c>
      <c r="W14">
        <f>HYPERLINK("https://klasma.github.io/Logging_2080/klagomålsmail/A 944-2023.docx", "A 944-2023")</f>
        <v/>
      </c>
      <c r="X14">
        <f>HYPERLINK("https://klasma.github.io/Logging_2080/tillsyn/A 944-2023.docx", "A 944-2023")</f>
        <v/>
      </c>
      <c r="Y14">
        <f>HYPERLINK("https://klasma.github.io/Logging_2080/tillsynsmail/A 944-2023.docx", "A 944-2023")</f>
        <v/>
      </c>
    </row>
    <row r="15" ht="15" customHeight="1">
      <c r="A15" t="inlineStr">
        <is>
          <t>A 62470-2019</t>
        </is>
      </c>
      <c r="B15" s="1" t="n">
        <v>43788</v>
      </c>
      <c r="C15" s="1" t="n">
        <v>45210</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62470-2019.xlsx", "A 62470-2019")</f>
        <v/>
      </c>
      <c r="T15">
        <f>HYPERLINK("https://klasma.github.io/Logging_2034/kartor/A 62470-2019.png", "A 62470-2019")</f>
        <v/>
      </c>
      <c r="V15">
        <f>HYPERLINK("https://klasma.github.io/Logging_2034/klagomål/A 62470-2019.docx", "A 62470-2019")</f>
        <v/>
      </c>
      <c r="W15">
        <f>HYPERLINK("https://klasma.github.io/Logging_2034/klagomålsmail/A 62470-2019.docx", "A 62470-2019")</f>
        <v/>
      </c>
      <c r="X15">
        <f>HYPERLINK("https://klasma.github.io/Logging_2034/tillsyn/A 62470-2019.docx", "A 62470-2019")</f>
        <v/>
      </c>
      <c r="Y15">
        <f>HYPERLINK("https://klasma.github.io/Logging_2034/tillsynsmail/A 62470-2019.docx", "A 62470-2019")</f>
        <v/>
      </c>
    </row>
    <row r="16" ht="15" customHeight="1">
      <c r="A16" t="inlineStr">
        <is>
          <t>A 40224-2022</t>
        </is>
      </c>
      <c r="B16" s="1" t="n">
        <v>44820</v>
      </c>
      <c r="C16" s="1" t="n">
        <v>45210</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40224-2022.xlsx", "A 40224-2022")</f>
        <v/>
      </c>
      <c r="T16">
        <f>HYPERLINK("https://klasma.github.io/Logging_2021/kartor/A 40224-2022.png", "A 40224-2022")</f>
        <v/>
      </c>
      <c r="U16">
        <f>HYPERLINK("https://klasma.github.io/Logging_2021/knärot/A 40224-2022.png", "A 40224-2022")</f>
        <v/>
      </c>
      <c r="V16">
        <f>HYPERLINK("https://klasma.github.io/Logging_2021/klagomål/A 40224-2022.docx", "A 40224-2022")</f>
        <v/>
      </c>
      <c r="W16">
        <f>HYPERLINK("https://klasma.github.io/Logging_2021/klagomålsmail/A 40224-2022.docx", "A 40224-2022")</f>
        <v/>
      </c>
      <c r="X16">
        <f>HYPERLINK("https://klasma.github.io/Logging_2021/tillsyn/A 40224-2022.docx", "A 40224-2022")</f>
        <v/>
      </c>
      <c r="Y16">
        <f>HYPERLINK("https://klasma.github.io/Logging_2021/tillsynsmail/A 40224-2022.docx", "A 40224-2022")</f>
        <v/>
      </c>
    </row>
    <row r="17" ht="15" customHeight="1">
      <c r="A17" t="inlineStr">
        <is>
          <t>A 7234-2019</t>
        </is>
      </c>
      <c r="B17" s="1" t="n">
        <v>43490</v>
      </c>
      <c r="C17" s="1" t="n">
        <v>45210</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7234-2019.xlsx", "A 7234-2019")</f>
        <v/>
      </c>
      <c r="T17">
        <f>HYPERLINK("https://klasma.github.io/Logging_2039/kartor/A 7234-2019.png", "A 7234-2019")</f>
        <v/>
      </c>
      <c r="V17">
        <f>HYPERLINK("https://klasma.github.io/Logging_2039/klagomål/A 7234-2019.docx", "A 7234-2019")</f>
        <v/>
      </c>
      <c r="W17">
        <f>HYPERLINK("https://klasma.github.io/Logging_2039/klagomålsmail/A 7234-2019.docx", "A 7234-2019")</f>
        <v/>
      </c>
      <c r="X17">
        <f>HYPERLINK("https://klasma.github.io/Logging_2039/tillsyn/A 7234-2019.docx", "A 7234-2019")</f>
        <v/>
      </c>
      <c r="Y17">
        <f>HYPERLINK("https://klasma.github.io/Logging_2039/tillsynsmail/A 7234-2019.docx", "A 7234-2019")</f>
        <v/>
      </c>
    </row>
    <row r="18" ht="15" customHeight="1">
      <c r="A18" t="inlineStr">
        <is>
          <t>A 22231-2019</t>
        </is>
      </c>
      <c r="B18" s="1" t="n">
        <v>43585</v>
      </c>
      <c r="C18" s="1" t="n">
        <v>45210</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22231-2019.xlsx", "A 22231-2019")</f>
        <v/>
      </c>
      <c r="T18">
        <f>HYPERLINK("https://klasma.github.io/Logging_2023/kartor/A 22231-2019.png", "A 22231-2019")</f>
        <v/>
      </c>
      <c r="V18">
        <f>HYPERLINK("https://klasma.github.io/Logging_2023/klagomål/A 22231-2019.docx", "A 22231-2019")</f>
        <v/>
      </c>
      <c r="W18">
        <f>HYPERLINK("https://klasma.github.io/Logging_2023/klagomålsmail/A 22231-2019.docx", "A 22231-2019")</f>
        <v/>
      </c>
      <c r="X18">
        <f>HYPERLINK("https://klasma.github.io/Logging_2023/tillsyn/A 22231-2019.docx", "A 22231-2019")</f>
        <v/>
      </c>
      <c r="Y18">
        <f>HYPERLINK("https://klasma.github.io/Logging_2023/tillsynsmail/A 22231-2019.docx", "A 22231-2019")</f>
        <v/>
      </c>
    </row>
    <row r="19" ht="15" customHeight="1">
      <c r="A19" t="inlineStr">
        <is>
          <t>A 18040-2021</t>
        </is>
      </c>
      <c r="B19" s="1" t="n">
        <v>44302</v>
      </c>
      <c r="C19" s="1" t="n">
        <v>45210</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18040-2021.xlsx", "A 18040-2021")</f>
        <v/>
      </c>
      <c r="T19">
        <f>HYPERLINK("https://klasma.github.io/Logging_2083/kartor/A 18040-2021.png", "A 18040-2021")</f>
        <v/>
      </c>
      <c r="U19">
        <f>HYPERLINK("https://klasma.github.io/Logging_2083/knärot/A 18040-2021.png", "A 18040-2021")</f>
        <v/>
      </c>
      <c r="V19">
        <f>HYPERLINK("https://klasma.github.io/Logging_2083/klagomål/A 18040-2021.docx", "A 18040-2021")</f>
        <v/>
      </c>
      <c r="W19">
        <f>HYPERLINK("https://klasma.github.io/Logging_2083/klagomålsmail/A 18040-2021.docx", "A 18040-2021")</f>
        <v/>
      </c>
      <c r="X19">
        <f>HYPERLINK("https://klasma.github.io/Logging_2083/tillsyn/A 18040-2021.docx", "A 18040-2021")</f>
        <v/>
      </c>
      <c r="Y19">
        <f>HYPERLINK("https://klasma.github.io/Logging_2083/tillsynsmail/A 18040-2021.docx", "A 18040-2021")</f>
        <v/>
      </c>
    </row>
    <row r="20" ht="15" customHeight="1">
      <c r="A20" t="inlineStr">
        <is>
          <t>A 53849-2022</t>
        </is>
      </c>
      <c r="B20" s="1" t="n">
        <v>44876</v>
      </c>
      <c r="C20" s="1" t="n">
        <v>45210</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53849-2022.xlsx", "A 53849-2022")</f>
        <v/>
      </c>
      <c r="T20">
        <f>HYPERLINK("https://klasma.github.io/Logging_2029/kartor/A 53849-2022.png", "A 53849-2022")</f>
        <v/>
      </c>
      <c r="U20">
        <f>HYPERLINK("https://klasma.github.io/Logging_2029/knärot/A 53849-2022.png", "A 53849-2022")</f>
        <v/>
      </c>
      <c r="V20">
        <f>HYPERLINK("https://klasma.github.io/Logging_2029/klagomål/A 53849-2022.docx", "A 53849-2022")</f>
        <v/>
      </c>
      <c r="W20">
        <f>HYPERLINK("https://klasma.github.io/Logging_2029/klagomålsmail/A 53849-2022.docx", "A 53849-2022")</f>
        <v/>
      </c>
      <c r="X20">
        <f>HYPERLINK("https://klasma.github.io/Logging_2029/tillsyn/A 53849-2022.docx", "A 53849-2022")</f>
        <v/>
      </c>
      <c r="Y20">
        <f>HYPERLINK("https://klasma.github.io/Logging_2029/tillsynsmail/A 53849-2022.docx", "A 53849-2022")</f>
        <v/>
      </c>
    </row>
    <row r="21" ht="15" customHeight="1">
      <c r="A21" t="inlineStr">
        <is>
          <t>A 19109-2023</t>
        </is>
      </c>
      <c r="B21" s="1" t="n">
        <v>45044</v>
      </c>
      <c r="C21" s="1" t="n">
        <v>45210</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19109-2023.xlsx", "A 19109-2023")</f>
        <v/>
      </c>
      <c r="T21">
        <f>HYPERLINK("https://klasma.github.io/Logging_2039/kartor/A 19109-2023.png", "A 19109-2023")</f>
        <v/>
      </c>
      <c r="V21">
        <f>HYPERLINK("https://klasma.github.io/Logging_2039/klagomål/A 19109-2023.docx", "A 19109-2023")</f>
        <v/>
      </c>
      <c r="W21">
        <f>HYPERLINK("https://klasma.github.io/Logging_2039/klagomålsmail/A 19109-2023.docx", "A 19109-2023")</f>
        <v/>
      </c>
      <c r="X21">
        <f>HYPERLINK("https://klasma.github.io/Logging_2039/tillsyn/A 19109-2023.docx", "A 19109-2023")</f>
        <v/>
      </c>
      <c r="Y21">
        <f>HYPERLINK("https://klasma.github.io/Logging_2039/tillsynsmail/A 19109-2023.docx", "A 19109-2023")</f>
        <v/>
      </c>
    </row>
    <row r="22" ht="15" customHeight="1">
      <c r="A22" t="inlineStr">
        <is>
          <t>A 15457-2019</t>
        </is>
      </c>
      <c r="B22" s="1" t="n">
        <v>43542</v>
      </c>
      <c r="C22" s="1" t="n">
        <v>45210</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15457-2019.xlsx", "A 15457-2019")</f>
        <v/>
      </c>
      <c r="T22">
        <f>HYPERLINK("https://klasma.github.io/Logging_2031/kartor/A 15457-2019.png", "A 15457-2019")</f>
        <v/>
      </c>
      <c r="U22">
        <f>HYPERLINK("https://klasma.github.io/Logging_2031/knärot/A 15457-2019.png", "A 15457-2019")</f>
        <v/>
      </c>
      <c r="V22">
        <f>HYPERLINK("https://klasma.github.io/Logging_2031/klagomål/A 15457-2019.docx", "A 15457-2019")</f>
        <v/>
      </c>
      <c r="W22">
        <f>HYPERLINK("https://klasma.github.io/Logging_2031/klagomålsmail/A 15457-2019.docx", "A 15457-2019")</f>
        <v/>
      </c>
      <c r="X22">
        <f>HYPERLINK("https://klasma.github.io/Logging_2031/tillsyn/A 15457-2019.docx", "A 15457-2019")</f>
        <v/>
      </c>
      <c r="Y22">
        <f>HYPERLINK("https://klasma.github.io/Logging_2031/tillsynsmail/A 15457-2019.docx", "A 15457-2019")</f>
        <v/>
      </c>
    </row>
    <row r="23" ht="15" customHeight="1">
      <c r="A23" t="inlineStr">
        <is>
          <t>A 21672-2021</t>
        </is>
      </c>
      <c r="B23" s="1" t="n">
        <v>44322</v>
      </c>
      <c r="C23" s="1" t="n">
        <v>45210</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21672-2021.xlsx", "A 21672-2021")</f>
        <v/>
      </c>
      <c r="T23">
        <f>HYPERLINK("https://klasma.github.io/Logging_2085/kartor/A 21672-2021.png", "A 21672-2021")</f>
        <v/>
      </c>
      <c r="U23">
        <f>HYPERLINK("https://klasma.github.io/Logging_2085/knärot/A 21672-2021.png", "A 21672-2021")</f>
        <v/>
      </c>
      <c r="V23">
        <f>HYPERLINK("https://klasma.github.io/Logging_2085/klagomål/A 21672-2021.docx", "A 21672-2021")</f>
        <v/>
      </c>
      <c r="W23">
        <f>HYPERLINK("https://klasma.github.io/Logging_2085/klagomålsmail/A 21672-2021.docx", "A 21672-2021")</f>
        <v/>
      </c>
      <c r="X23">
        <f>HYPERLINK("https://klasma.github.io/Logging_2085/tillsyn/A 21672-2021.docx", "A 21672-2021")</f>
        <v/>
      </c>
      <c r="Y23">
        <f>HYPERLINK("https://klasma.github.io/Logging_2085/tillsynsmail/A 21672-2021.docx", "A 21672-2021")</f>
        <v/>
      </c>
    </row>
    <row r="24" ht="15" customHeight="1">
      <c r="A24" t="inlineStr">
        <is>
          <t>A 7383-2020</t>
        </is>
      </c>
      <c r="B24" s="1" t="n">
        <v>43868</v>
      </c>
      <c r="C24" s="1" t="n">
        <v>45210</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7383-2020.xlsx", "A 7383-2020")</f>
        <v/>
      </c>
      <c r="T24">
        <f>HYPERLINK("https://klasma.github.io/Logging_2023/kartor/A 7383-2020.png", "A 7383-2020")</f>
        <v/>
      </c>
      <c r="U24">
        <f>HYPERLINK("https://klasma.github.io/Logging_2023/knärot/A 7383-2020.png", "A 7383-2020")</f>
        <v/>
      </c>
      <c r="V24">
        <f>HYPERLINK("https://klasma.github.io/Logging_2023/klagomål/A 7383-2020.docx", "A 7383-2020")</f>
        <v/>
      </c>
      <c r="W24">
        <f>HYPERLINK("https://klasma.github.io/Logging_2023/klagomålsmail/A 7383-2020.docx", "A 7383-2020")</f>
        <v/>
      </c>
      <c r="X24">
        <f>HYPERLINK("https://klasma.github.io/Logging_2023/tillsyn/A 7383-2020.docx", "A 7383-2020")</f>
        <v/>
      </c>
      <c r="Y24">
        <f>HYPERLINK("https://klasma.github.io/Logging_2023/tillsynsmail/A 7383-2020.docx", "A 7383-2020")</f>
        <v/>
      </c>
    </row>
    <row r="25" ht="15" customHeight="1">
      <c r="A25" t="inlineStr">
        <is>
          <t>A 30752-2021</t>
        </is>
      </c>
      <c r="B25" s="1" t="n">
        <v>44365</v>
      </c>
      <c r="C25" s="1" t="n">
        <v>45210</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30752-2021.xlsx", "A 30752-2021")</f>
        <v/>
      </c>
      <c r="T25">
        <f>HYPERLINK("https://klasma.github.io/Logging_2082/kartor/A 30752-2021.png", "A 30752-2021")</f>
        <v/>
      </c>
      <c r="U25">
        <f>HYPERLINK("https://klasma.github.io/Logging_2082/knärot/A 30752-2021.png", "A 30752-2021")</f>
        <v/>
      </c>
      <c r="V25">
        <f>HYPERLINK("https://klasma.github.io/Logging_2082/klagomål/A 30752-2021.docx", "A 30752-2021")</f>
        <v/>
      </c>
      <c r="W25">
        <f>HYPERLINK("https://klasma.github.io/Logging_2082/klagomålsmail/A 30752-2021.docx", "A 30752-2021")</f>
        <v/>
      </c>
      <c r="X25">
        <f>HYPERLINK("https://klasma.github.io/Logging_2082/tillsyn/A 30752-2021.docx", "A 30752-2021")</f>
        <v/>
      </c>
      <c r="Y25">
        <f>HYPERLINK("https://klasma.github.io/Logging_2082/tillsynsmail/A 30752-2021.docx", "A 30752-2021")</f>
        <v/>
      </c>
    </row>
    <row r="26" ht="15" customHeight="1">
      <c r="A26" t="inlineStr">
        <is>
          <t>A 34901-2022</t>
        </is>
      </c>
      <c r="B26" s="1" t="n">
        <v>44796</v>
      </c>
      <c r="C26" s="1" t="n">
        <v>45210</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34901-2022.xlsx", "A 34901-2022")</f>
        <v/>
      </c>
      <c r="T26">
        <f>HYPERLINK("https://klasma.github.io/Logging_2023/kartor/A 34901-2022.png", "A 34901-2022")</f>
        <v/>
      </c>
      <c r="V26">
        <f>HYPERLINK("https://klasma.github.io/Logging_2023/klagomål/A 34901-2022.docx", "A 34901-2022")</f>
        <v/>
      </c>
      <c r="W26">
        <f>HYPERLINK("https://klasma.github.io/Logging_2023/klagomålsmail/A 34901-2022.docx", "A 34901-2022")</f>
        <v/>
      </c>
      <c r="X26">
        <f>HYPERLINK("https://klasma.github.io/Logging_2023/tillsyn/A 34901-2022.docx", "A 34901-2022")</f>
        <v/>
      </c>
      <c r="Y26">
        <f>HYPERLINK("https://klasma.github.io/Logging_2023/tillsynsmail/A 34901-2022.docx", "A 34901-2022")</f>
        <v/>
      </c>
    </row>
    <row r="27" ht="15" customHeight="1">
      <c r="A27" t="inlineStr">
        <is>
          <t>A 30234-2023</t>
        </is>
      </c>
      <c r="B27" s="1" t="n">
        <v>45110</v>
      </c>
      <c r="C27" s="1" t="n">
        <v>45210</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30234-2023.xlsx", "A 30234-2023")</f>
        <v/>
      </c>
      <c r="T27">
        <f>HYPERLINK("https://klasma.github.io/Logging_2039/kartor/A 30234-2023.png", "A 30234-2023")</f>
        <v/>
      </c>
      <c r="V27">
        <f>HYPERLINK("https://klasma.github.io/Logging_2039/klagomål/A 30234-2023.docx", "A 30234-2023")</f>
        <v/>
      </c>
      <c r="W27">
        <f>HYPERLINK("https://klasma.github.io/Logging_2039/klagomålsmail/A 30234-2023.docx", "A 30234-2023")</f>
        <v/>
      </c>
      <c r="X27">
        <f>HYPERLINK("https://klasma.github.io/Logging_2039/tillsyn/A 30234-2023.docx", "A 30234-2023")</f>
        <v/>
      </c>
      <c r="Y27">
        <f>HYPERLINK("https://klasma.github.io/Logging_2039/tillsynsmail/A 30234-2023.docx", "A 30234-2023")</f>
        <v/>
      </c>
    </row>
    <row r="28" ht="15" customHeight="1">
      <c r="A28" t="inlineStr">
        <is>
          <t>A 31037-2023</t>
        </is>
      </c>
      <c r="B28" s="1" t="n">
        <v>45113</v>
      </c>
      <c r="C28" s="1" t="n">
        <v>45210</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31037-2023.xlsx", "A 31037-2023")</f>
        <v/>
      </c>
      <c r="T28">
        <f>HYPERLINK("https://klasma.github.io/Logging_2039/kartor/A 31037-2023.png", "A 31037-2023")</f>
        <v/>
      </c>
      <c r="V28">
        <f>HYPERLINK("https://klasma.github.io/Logging_2039/klagomål/A 31037-2023.docx", "A 31037-2023")</f>
        <v/>
      </c>
      <c r="W28">
        <f>HYPERLINK("https://klasma.github.io/Logging_2039/klagomålsmail/A 31037-2023.docx", "A 31037-2023")</f>
        <v/>
      </c>
      <c r="X28">
        <f>HYPERLINK("https://klasma.github.io/Logging_2039/tillsyn/A 31037-2023.docx", "A 31037-2023")</f>
        <v/>
      </c>
      <c r="Y28">
        <f>HYPERLINK("https://klasma.github.io/Logging_2039/tillsynsmail/A 31037-2023.docx", "A 31037-2023")</f>
        <v/>
      </c>
    </row>
    <row r="29" ht="15" customHeight="1">
      <c r="A29" t="inlineStr">
        <is>
          <t>A 28620-2020</t>
        </is>
      </c>
      <c r="B29" s="1" t="n">
        <v>43999</v>
      </c>
      <c r="C29" s="1" t="n">
        <v>45210</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28620-2020.xlsx", "A 28620-2020")</f>
        <v/>
      </c>
      <c r="T29">
        <f>HYPERLINK("https://klasma.github.io/Logging_2039/kartor/A 28620-2020.png", "A 28620-2020")</f>
        <v/>
      </c>
      <c r="V29">
        <f>HYPERLINK("https://klasma.github.io/Logging_2039/klagomål/A 28620-2020.docx", "A 28620-2020")</f>
        <v/>
      </c>
      <c r="W29">
        <f>HYPERLINK("https://klasma.github.io/Logging_2039/klagomålsmail/A 28620-2020.docx", "A 28620-2020")</f>
        <v/>
      </c>
      <c r="X29">
        <f>HYPERLINK("https://klasma.github.io/Logging_2039/tillsyn/A 28620-2020.docx", "A 28620-2020")</f>
        <v/>
      </c>
      <c r="Y29">
        <f>HYPERLINK("https://klasma.github.io/Logging_2039/tillsynsmail/A 28620-2020.docx", "A 28620-2020")</f>
        <v/>
      </c>
    </row>
    <row r="30" ht="15" customHeight="1">
      <c r="A30" t="inlineStr">
        <is>
          <t>A 19847-2021</t>
        </is>
      </c>
      <c r="B30" s="1" t="n">
        <v>44313</v>
      </c>
      <c r="C30" s="1" t="n">
        <v>45210</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19847-2021.xlsx", "A 19847-2021")</f>
        <v/>
      </c>
      <c r="T30">
        <f>HYPERLINK("https://klasma.github.io/Logging_2023/kartor/A 19847-2021.png", "A 19847-2021")</f>
        <v/>
      </c>
      <c r="V30">
        <f>HYPERLINK("https://klasma.github.io/Logging_2023/klagomål/A 19847-2021.docx", "A 19847-2021")</f>
        <v/>
      </c>
      <c r="W30">
        <f>HYPERLINK("https://klasma.github.io/Logging_2023/klagomålsmail/A 19847-2021.docx", "A 19847-2021")</f>
        <v/>
      </c>
      <c r="X30">
        <f>HYPERLINK("https://klasma.github.io/Logging_2023/tillsyn/A 19847-2021.docx", "A 19847-2021")</f>
        <v/>
      </c>
      <c r="Y30">
        <f>HYPERLINK("https://klasma.github.io/Logging_2023/tillsynsmail/A 19847-2021.docx", "A 19847-2021")</f>
        <v/>
      </c>
    </row>
    <row r="31" ht="15" customHeight="1">
      <c r="A31" t="inlineStr">
        <is>
          <t>A 45719-2021</t>
        </is>
      </c>
      <c r="B31" s="1" t="n">
        <v>44441</v>
      </c>
      <c r="C31" s="1" t="n">
        <v>45210</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45719-2021.xlsx", "A 45719-2021")</f>
        <v/>
      </c>
      <c r="T31">
        <f>HYPERLINK("https://klasma.github.io/Logging_2061/kartor/A 45719-2021.png", "A 45719-2021")</f>
        <v/>
      </c>
      <c r="V31">
        <f>HYPERLINK("https://klasma.github.io/Logging_2061/klagomål/A 45719-2021.docx", "A 45719-2021")</f>
        <v/>
      </c>
      <c r="W31">
        <f>HYPERLINK("https://klasma.github.io/Logging_2061/klagomålsmail/A 45719-2021.docx", "A 45719-2021")</f>
        <v/>
      </c>
      <c r="X31">
        <f>HYPERLINK("https://klasma.github.io/Logging_2061/tillsyn/A 45719-2021.docx", "A 45719-2021")</f>
        <v/>
      </c>
      <c r="Y31">
        <f>HYPERLINK("https://klasma.github.io/Logging_2061/tillsynsmail/A 45719-2021.docx", "A 45719-2021")</f>
        <v/>
      </c>
    </row>
    <row r="32" ht="15" customHeight="1">
      <c r="A32" t="inlineStr">
        <is>
          <t>A 69728-2021</t>
        </is>
      </c>
      <c r="B32" s="1" t="n">
        <v>44532</v>
      </c>
      <c r="C32" s="1" t="n">
        <v>45210</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69728-2021.xlsx", "A 69728-2021")</f>
        <v/>
      </c>
      <c r="T32">
        <f>HYPERLINK("https://klasma.github.io/Logging_2039/kartor/A 69728-2021.png", "A 69728-2021")</f>
        <v/>
      </c>
      <c r="V32">
        <f>HYPERLINK("https://klasma.github.io/Logging_2039/klagomål/A 69728-2021.docx", "A 69728-2021")</f>
        <v/>
      </c>
      <c r="W32">
        <f>HYPERLINK("https://klasma.github.io/Logging_2039/klagomålsmail/A 69728-2021.docx", "A 69728-2021")</f>
        <v/>
      </c>
      <c r="X32">
        <f>HYPERLINK("https://klasma.github.io/Logging_2039/tillsyn/A 69728-2021.docx", "A 69728-2021")</f>
        <v/>
      </c>
      <c r="Y32">
        <f>HYPERLINK("https://klasma.github.io/Logging_2039/tillsynsmail/A 69728-2021.docx", "A 69728-2021")</f>
        <v/>
      </c>
    </row>
    <row r="33" ht="15" customHeight="1">
      <c r="A33" t="inlineStr">
        <is>
          <t>A 24118-2023</t>
        </is>
      </c>
      <c r="B33" s="1" t="n">
        <v>45079</v>
      </c>
      <c r="C33" s="1" t="n">
        <v>45210</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24118-2023.xlsx", "A 24118-2023")</f>
        <v/>
      </c>
      <c r="T33">
        <f>HYPERLINK("https://klasma.github.io/Logging_2062/kartor/A 24118-2023.png", "A 24118-2023")</f>
        <v/>
      </c>
      <c r="U33">
        <f>HYPERLINK("https://klasma.github.io/Logging_2062/knärot/A 24118-2023.png", "A 24118-2023")</f>
        <v/>
      </c>
      <c r="V33">
        <f>HYPERLINK("https://klasma.github.io/Logging_2062/klagomål/A 24118-2023.docx", "A 24118-2023")</f>
        <v/>
      </c>
      <c r="W33">
        <f>HYPERLINK("https://klasma.github.io/Logging_2062/klagomålsmail/A 24118-2023.docx", "A 24118-2023")</f>
        <v/>
      </c>
      <c r="X33">
        <f>HYPERLINK("https://klasma.github.io/Logging_2062/tillsyn/A 24118-2023.docx", "A 24118-2023")</f>
        <v/>
      </c>
      <c r="Y33">
        <f>HYPERLINK("https://klasma.github.io/Logging_2062/tillsynsmail/A 24118-2023.docx", "A 24118-2023")</f>
        <v/>
      </c>
    </row>
    <row r="34" ht="15" customHeight="1">
      <c r="A34" t="inlineStr">
        <is>
          <t>A 33548-2023</t>
        </is>
      </c>
      <c r="B34" s="1" t="n">
        <v>45118</v>
      </c>
      <c r="C34" s="1" t="n">
        <v>45210</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33548-2023.xlsx", "A 33548-2023")</f>
        <v/>
      </c>
      <c r="T34">
        <f>HYPERLINK("https://klasma.github.io/Logging_2039/kartor/A 33548-2023.png", "A 33548-2023")</f>
        <v/>
      </c>
      <c r="V34">
        <f>HYPERLINK("https://klasma.github.io/Logging_2039/klagomål/A 33548-2023.docx", "A 33548-2023")</f>
        <v/>
      </c>
      <c r="W34">
        <f>HYPERLINK("https://klasma.github.io/Logging_2039/klagomålsmail/A 33548-2023.docx", "A 33548-2023")</f>
        <v/>
      </c>
      <c r="X34">
        <f>HYPERLINK("https://klasma.github.io/Logging_2039/tillsyn/A 33548-2023.docx", "A 33548-2023")</f>
        <v/>
      </c>
      <c r="Y34">
        <f>HYPERLINK("https://klasma.github.io/Logging_2039/tillsynsmail/A 33548-2023.docx", "A 33548-2023")</f>
        <v/>
      </c>
    </row>
    <row r="35" ht="15" customHeight="1">
      <c r="A35" t="inlineStr">
        <is>
          <t>A 28765-2019</t>
        </is>
      </c>
      <c r="B35" s="1" t="n">
        <v>43627</v>
      </c>
      <c r="C35" s="1" t="n">
        <v>45210</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28765-2019.xlsx", "A 28765-2019")</f>
        <v/>
      </c>
      <c r="T35">
        <f>HYPERLINK("https://klasma.github.io/Logging_2039/kartor/A 28765-2019.png", "A 28765-2019")</f>
        <v/>
      </c>
      <c r="V35">
        <f>HYPERLINK("https://klasma.github.io/Logging_2039/klagomål/A 28765-2019.docx", "A 28765-2019")</f>
        <v/>
      </c>
      <c r="W35">
        <f>HYPERLINK("https://klasma.github.io/Logging_2039/klagomålsmail/A 28765-2019.docx", "A 28765-2019")</f>
        <v/>
      </c>
      <c r="X35">
        <f>HYPERLINK("https://klasma.github.io/Logging_2039/tillsyn/A 28765-2019.docx", "A 28765-2019")</f>
        <v/>
      </c>
      <c r="Y35">
        <f>HYPERLINK("https://klasma.github.io/Logging_2039/tillsynsmail/A 28765-2019.docx", "A 28765-2019")</f>
        <v/>
      </c>
    </row>
    <row r="36" ht="15" customHeight="1">
      <c r="A36" t="inlineStr">
        <is>
          <t>A 31670-2023</t>
        </is>
      </c>
      <c r="B36" s="1" t="n">
        <v>45117</v>
      </c>
      <c r="C36" s="1" t="n">
        <v>45210</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31670-2023.xlsx", "A 31670-2023")</f>
        <v/>
      </c>
      <c r="T36">
        <f>HYPERLINK("https://klasma.github.io/Logging_2034/kartor/A 31670-2023.png", "A 31670-2023")</f>
        <v/>
      </c>
      <c r="V36">
        <f>HYPERLINK("https://klasma.github.io/Logging_2034/klagomål/A 31670-2023.docx", "A 31670-2023")</f>
        <v/>
      </c>
      <c r="W36">
        <f>HYPERLINK("https://klasma.github.io/Logging_2034/klagomålsmail/A 31670-2023.docx", "A 31670-2023")</f>
        <v/>
      </c>
      <c r="X36">
        <f>HYPERLINK("https://klasma.github.io/Logging_2034/tillsyn/A 31670-2023.docx", "A 31670-2023")</f>
        <v/>
      </c>
      <c r="Y36">
        <f>HYPERLINK("https://klasma.github.io/Logging_2034/tillsynsmail/A 31670-2023.docx", "A 31670-2023")</f>
        <v/>
      </c>
    </row>
    <row r="37" ht="15" customHeight="1">
      <c r="A37" t="inlineStr">
        <is>
          <t>A 6138-2019</t>
        </is>
      </c>
      <c r="B37" s="1" t="n">
        <v>43486</v>
      </c>
      <c r="C37" s="1" t="n">
        <v>45210</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6138-2019.xlsx", "A 6138-2019")</f>
        <v/>
      </c>
      <c r="T37">
        <f>HYPERLINK("https://klasma.github.io/Logging_2023/kartor/A 6138-2019.png", "A 6138-2019")</f>
        <v/>
      </c>
      <c r="V37">
        <f>HYPERLINK("https://klasma.github.io/Logging_2023/klagomål/A 6138-2019.docx", "A 6138-2019")</f>
        <v/>
      </c>
      <c r="W37">
        <f>HYPERLINK("https://klasma.github.io/Logging_2023/klagomålsmail/A 6138-2019.docx", "A 6138-2019")</f>
        <v/>
      </c>
      <c r="X37">
        <f>HYPERLINK("https://klasma.github.io/Logging_2023/tillsyn/A 6138-2019.docx", "A 6138-2019")</f>
        <v/>
      </c>
      <c r="Y37">
        <f>HYPERLINK("https://klasma.github.io/Logging_2023/tillsynsmail/A 6138-2019.docx", "A 6138-2019")</f>
        <v/>
      </c>
    </row>
    <row r="38" ht="15" customHeight="1">
      <c r="A38" t="inlineStr">
        <is>
          <t>A 30281-2019</t>
        </is>
      </c>
      <c r="B38" s="1" t="n">
        <v>43633</v>
      </c>
      <c r="C38" s="1" t="n">
        <v>45210</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30281-2019.xlsx", "A 30281-2019")</f>
        <v/>
      </c>
      <c r="T38">
        <f>HYPERLINK("https://klasma.github.io/Logging_2023/kartor/A 30281-2019.png", "A 30281-2019")</f>
        <v/>
      </c>
      <c r="V38">
        <f>HYPERLINK("https://klasma.github.io/Logging_2023/klagomål/A 30281-2019.docx", "A 30281-2019")</f>
        <v/>
      </c>
      <c r="W38">
        <f>HYPERLINK("https://klasma.github.io/Logging_2023/klagomålsmail/A 30281-2019.docx", "A 30281-2019")</f>
        <v/>
      </c>
      <c r="X38">
        <f>HYPERLINK("https://klasma.github.io/Logging_2023/tillsyn/A 30281-2019.docx", "A 30281-2019")</f>
        <v/>
      </c>
      <c r="Y38">
        <f>HYPERLINK("https://klasma.github.io/Logging_2023/tillsynsmail/A 30281-2019.docx", "A 30281-2019")</f>
        <v/>
      </c>
    </row>
    <row r="39" ht="15" customHeight="1">
      <c r="A39" t="inlineStr">
        <is>
          <t>A 35425-2019</t>
        </is>
      </c>
      <c r="B39" s="1" t="n">
        <v>43663</v>
      </c>
      <c r="C39" s="1" t="n">
        <v>45210</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35425-2019.xlsx", "A 35425-2019")</f>
        <v/>
      </c>
      <c r="T39">
        <f>HYPERLINK("https://klasma.github.io/Logging_2031/kartor/A 35425-2019.png", "A 35425-2019")</f>
        <v/>
      </c>
      <c r="U39">
        <f>HYPERLINK("https://klasma.github.io/Logging_2031/knärot/A 35425-2019.png", "A 35425-2019")</f>
        <v/>
      </c>
      <c r="V39">
        <f>HYPERLINK("https://klasma.github.io/Logging_2031/klagomål/A 35425-2019.docx", "A 35425-2019")</f>
        <v/>
      </c>
      <c r="W39">
        <f>HYPERLINK("https://klasma.github.io/Logging_2031/klagomålsmail/A 35425-2019.docx", "A 35425-2019")</f>
        <v/>
      </c>
      <c r="X39">
        <f>HYPERLINK("https://klasma.github.io/Logging_2031/tillsyn/A 35425-2019.docx", "A 35425-2019")</f>
        <v/>
      </c>
      <c r="Y39">
        <f>HYPERLINK("https://klasma.github.io/Logging_2031/tillsynsmail/A 35425-2019.docx", "A 35425-2019")</f>
        <v/>
      </c>
    </row>
    <row r="40" ht="15" customHeight="1">
      <c r="A40" t="inlineStr">
        <is>
          <t>A 61375-2019</t>
        </is>
      </c>
      <c r="B40" s="1" t="n">
        <v>43783</v>
      </c>
      <c r="C40" s="1" t="n">
        <v>45210</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61375-2019.xlsx", "A 61375-2019")</f>
        <v/>
      </c>
      <c r="T40">
        <f>HYPERLINK("https://klasma.github.io/Logging_2029/kartor/A 61375-2019.png", "A 61375-2019")</f>
        <v/>
      </c>
      <c r="U40">
        <f>HYPERLINK("https://klasma.github.io/Logging_2029/knärot/A 61375-2019.png", "A 61375-2019")</f>
        <v/>
      </c>
      <c r="V40">
        <f>HYPERLINK("https://klasma.github.io/Logging_2029/klagomål/A 61375-2019.docx", "A 61375-2019")</f>
        <v/>
      </c>
      <c r="W40">
        <f>HYPERLINK("https://klasma.github.io/Logging_2029/klagomålsmail/A 61375-2019.docx", "A 61375-2019")</f>
        <v/>
      </c>
      <c r="X40">
        <f>HYPERLINK("https://klasma.github.io/Logging_2029/tillsyn/A 61375-2019.docx", "A 61375-2019")</f>
        <v/>
      </c>
      <c r="Y40">
        <f>HYPERLINK("https://klasma.github.io/Logging_2029/tillsynsmail/A 61375-2019.docx", "A 61375-2019")</f>
        <v/>
      </c>
    </row>
    <row r="41" ht="15" customHeight="1">
      <c r="A41" t="inlineStr">
        <is>
          <t>A 61373-2019</t>
        </is>
      </c>
      <c r="B41" s="1" t="n">
        <v>43783</v>
      </c>
      <c r="C41" s="1" t="n">
        <v>45210</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61373-2019.xlsx", "A 61373-2019")</f>
        <v/>
      </c>
      <c r="T41">
        <f>HYPERLINK("https://klasma.github.io/Logging_2029/kartor/A 61373-2019.png", "A 61373-2019")</f>
        <v/>
      </c>
      <c r="V41">
        <f>HYPERLINK("https://klasma.github.io/Logging_2029/klagomål/A 61373-2019.docx", "A 61373-2019")</f>
        <v/>
      </c>
      <c r="W41">
        <f>HYPERLINK("https://klasma.github.io/Logging_2029/klagomålsmail/A 61373-2019.docx", "A 61373-2019")</f>
        <v/>
      </c>
      <c r="X41">
        <f>HYPERLINK("https://klasma.github.io/Logging_2029/tillsyn/A 61373-2019.docx", "A 61373-2019")</f>
        <v/>
      </c>
      <c r="Y41">
        <f>HYPERLINK("https://klasma.github.io/Logging_2029/tillsynsmail/A 61373-2019.docx", "A 61373-2019")</f>
        <v/>
      </c>
    </row>
    <row r="42" ht="15" customHeight="1">
      <c r="A42" t="inlineStr">
        <is>
          <t>A 62314-2019</t>
        </is>
      </c>
      <c r="B42" s="1" t="n">
        <v>43788</v>
      </c>
      <c r="C42" s="1" t="n">
        <v>45210</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62314-2019.xlsx", "A 62314-2019")</f>
        <v/>
      </c>
      <c r="T42">
        <f>HYPERLINK("https://klasma.github.io/Logging_2023/kartor/A 62314-2019.png", "A 62314-2019")</f>
        <v/>
      </c>
      <c r="V42">
        <f>HYPERLINK("https://klasma.github.io/Logging_2023/klagomål/A 62314-2019.docx", "A 62314-2019")</f>
        <v/>
      </c>
      <c r="W42">
        <f>HYPERLINK("https://klasma.github.io/Logging_2023/klagomålsmail/A 62314-2019.docx", "A 62314-2019")</f>
        <v/>
      </c>
      <c r="X42">
        <f>HYPERLINK("https://klasma.github.io/Logging_2023/tillsyn/A 62314-2019.docx", "A 62314-2019")</f>
        <v/>
      </c>
      <c r="Y42">
        <f>HYPERLINK("https://klasma.github.io/Logging_2023/tillsynsmail/A 62314-2019.docx", "A 62314-2019")</f>
        <v/>
      </c>
    </row>
    <row r="43" ht="15" customHeight="1">
      <c r="A43" t="inlineStr">
        <is>
          <t>A 64675-2021</t>
        </is>
      </c>
      <c r="B43" s="1" t="n">
        <v>44512</v>
      </c>
      <c r="C43" s="1" t="n">
        <v>45210</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64675-2021.xlsx", "A 64675-2021")</f>
        <v/>
      </c>
      <c r="T43">
        <f>HYPERLINK("https://klasma.github.io/Logging_2081/kartor/A 64675-2021.png", "A 64675-2021")</f>
        <v/>
      </c>
      <c r="V43">
        <f>HYPERLINK("https://klasma.github.io/Logging_2081/klagomål/A 64675-2021.docx", "A 64675-2021")</f>
        <v/>
      </c>
      <c r="W43">
        <f>HYPERLINK("https://klasma.github.io/Logging_2081/klagomålsmail/A 64675-2021.docx", "A 64675-2021")</f>
        <v/>
      </c>
      <c r="X43">
        <f>HYPERLINK("https://klasma.github.io/Logging_2081/tillsyn/A 64675-2021.docx", "A 64675-2021")</f>
        <v/>
      </c>
      <c r="Y43">
        <f>HYPERLINK("https://klasma.github.io/Logging_2081/tillsynsmail/A 64675-2021.docx", "A 64675-2021")</f>
        <v/>
      </c>
    </row>
    <row r="44" ht="15" customHeight="1">
      <c r="A44" t="inlineStr">
        <is>
          <t>A 62103-2022</t>
        </is>
      </c>
      <c r="B44" s="1" t="n">
        <v>44920</v>
      </c>
      <c r="C44" s="1" t="n">
        <v>45210</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62103-2022.xlsx", "A 62103-2022")</f>
        <v/>
      </c>
      <c r="T44">
        <f>HYPERLINK("https://klasma.github.io/Logging_2023/kartor/A 62103-2022.png", "A 62103-2022")</f>
        <v/>
      </c>
      <c r="V44">
        <f>HYPERLINK("https://klasma.github.io/Logging_2023/klagomål/A 62103-2022.docx", "A 62103-2022")</f>
        <v/>
      </c>
      <c r="W44">
        <f>HYPERLINK("https://klasma.github.io/Logging_2023/klagomålsmail/A 62103-2022.docx", "A 62103-2022")</f>
        <v/>
      </c>
      <c r="X44">
        <f>HYPERLINK("https://klasma.github.io/Logging_2023/tillsyn/A 62103-2022.docx", "A 62103-2022")</f>
        <v/>
      </c>
      <c r="Y44">
        <f>HYPERLINK("https://klasma.github.io/Logging_2023/tillsynsmail/A 62103-2022.docx", "A 62103-2022")</f>
        <v/>
      </c>
    </row>
    <row r="45" ht="15" customHeight="1">
      <c r="A45" t="inlineStr">
        <is>
          <t>A 32114-2023</t>
        </is>
      </c>
      <c r="B45" s="1" t="n">
        <v>45119</v>
      </c>
      <c r="C45" s="1" t="n">
        <v>45210</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32114-2023.xlsx", "A 32114-2023")</f>
        <v/>
      </c>
      <c r="T45">
        <f>HYPERLINK("https://klasma.github.io/Logging_2039/kartor/A 32114-2023.png", "A 32114-2023")</f>
        <v/>
      </c>
      <c r="V45">
        <f>HYPERLINK("https://klasma.github.io/Logging_2039/klagomål/A 32114-2023.docx", "A 32114-2023")</f>
        <v/>
      </c>
      <c r="W45">
        <f>HYPERLINK("https://klasma.github.io/Logging_2039/klagomålsmail/A 32114-2023.docx", "A 32114-2023")</f>
        <v/>
      </c>
      <c r="X45">
        <f>HYPERLINK("https://klasma.github.io/Logging_2039/tillsyn/A 32114-2023.docx", "A 32114-2023")</f>
        <v/>
      </c>
      <c r="Y45">
        <f>HYPERLINK("https://klasma.github.io/Logging_2039/tillsynsmail/A 32114-2023.docx", "A 32114-2023")</f>
        <v/>
      </c>
    </row>
    <row r="46" ht="15" customHeight="1">
      <c r="A46" t="inlineStr">
        <is>
          <t>A 1118-2019</t>
        </is>
      </c>
      <c r="B46" s="1" t="n">
        <v>43472</v>
      </c>
      <c r="C46" s="1" t="n">
        <v>45210</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1118-2019.xlsx", "A 1118-2019")</f>
        <v/>
      </c>
      <c r="T46">
        <f>HYPERLINK("https://klasma.github.io/Logging_2023/kartor/A 1118-2019.png", "A 1118-2019")</f>
        <v/>
      </c>
      <c r="V46">
        <f>HYPERLINK("https://klasma.github.io/Logging_2023/klagomål/A 1118-2019.docx", "A 1118-2019")</f>
        <v/>
      </c>
      <c r="W46">
        <f>HYPERLINK("https://klasma.github.io/Logging_2023/klagomålsmail/A 1118-2019.docx", "A 1118-2019")</f>
        <v/>
      </c>
      <c r="X46">
        <f>HYPERLINK("https://klasma.github.io/Logging_2023/tillsyn/A 1118-2019.docx", "A 1118-2019")</f>
        <v/>
      </c>
      <c r="Y46">
        <f>HYPERLINK("https://klasma.github.io/Logging_2023/tillsynsmail/A 1118-2019.docx", "A 1118-2019")</f>
        <v/>
      </c>
    </row>
    <row r="47" ht="15" customHeight="1">
      <c r="A47" t="inlineStr">
        <is>
          <t>A 27718-2019</t>
        </is>
      </c>
      <c r="B47" s="1" t="n">
        <v>43619</v>
      </c>
      <c r="C47" s="1" t="n">
        <v>45210</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27718-2019.xlsx", "A 27718-2019")</f>
        <v/>
      </c>
      <c r="T47">
        <f>HYPERLINK("https://klasma.github.io/Logging_2031/kartor/A 27718-2019.png", "A 27718-2019")</f>
        <v/>
      </c>
      <c r="V47">
        <f>HYPERLINK("https://klasma.github.io/Logging_2031/klagomål/A 27718-2019.docx", "A 27718-2019")</f>
        <v/>
      </c>
      <c r="W47">
        <f>HYPERLINK("https://klasma.github.io/Logging_2031/klagomålsmail/A 27718-2019.docx", "A 27718-2019")</f>
        <v/>
      </c>
      <c r="X47">
        <f>HYPERLINK("https://klasma.github.io/Logging_2031/tillsyn/A 27718-2019.docx", "A 27718-2019")</f>
        <v/>
      </c>
      <c r="Y47">
        <f>HYPERLINK("https://klasma.github.io/Logging_2031/tillsynsmail/A 27718-2019.docx", "A 27718-2019")</f>
        <v/>
      </c>
    </row>
    <row r="48" ht="15" customHeight="1">
      <c r="A48" t="inlineStr">
        <is>
          <t>A 51524-2020</t>
        </is>
      </c>
      <c r="B48" s="1" t="n">
        <v>44113</v>
      </c>
      <c r="C48" s="1" t="n">
        <v>45210</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51524-2020.xlsx", "A 51524-2020")</f>
        <v/>
      </c>
      <c r="T48">
        <f>HYPERLINK("https://klasma.github.io/Logging_2039/kartor/A 51524-2020.png", "A 51524-2020")</f>
        <v/>
      </c>
      <c r="V48">
        <f>HYPERLINK("https://klasma.github.io/Logging_2039/klagomål/A 51524-2020.docx", "A 51524-2020")</f>
        <v/>
      </c>
      <c r="W48">
        <f>HYPERLINK("https://klasma.github.io/Logging_2039/klagomålsmail/A 51524-2020.docx", "A 51524-2020")</f>
        <v/>
      </c>
      <c r="X48">
        <f>HYPERLINK("https://klasma.github.io/Logging_2039/tillsyn/A 51524-2020.docx", "A 51524-2020")</f>
        <v/>
      </c>
      <c r="Y48">
        <f>HYPERLINK("https://klasma.github.io/Logging_2039/tillsynsmail/A 51524-2020.docx", "A 51524-2020")</f>
        <v/>
      </c>
    </row>
    <row r="49" ht="15" customHeight="1">
      <c r="A49" t="inlineStr">
        <is>
          <t>A 18375-2021</t>
        </is>
      </c>
      <c r="B49" s="1" t="n">
        <v>44305</v>
      </c>
      <c r="C49" s="1" t="n">
        <v>45210</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18375-2021.xlsx", "A 18375-2021")</f>
        <v/>
      </c>
      <c r="T49">
        <f>HYPERLINK("https://klasma.github.io/Logging_2061/kartor/A 18375-2021.png", "A 18375-2021")</f>
        <v/>
      </c>
      <c r="V49">
        <f>HYPERLINK("https://klasma.github.io/Logging_2061/klagomål/A 18375-2021.docx", "A 18375-2021")</f>
        <v/>
      </c>
      <c r="W49">
        <f>HYPERLINK("https://klasma.github.io/Logging_2061/klagomålsmail/A 18375-2021.docx", "A 18375-2021")</f>
        <v/>
      </c>
      <c r="X49">
        <f>HYPERLINK("https://klasma.github.io/Logging_2061/tillsyn/A 18375-2021.docx", "A 18375-2021")</f>
        <v/>
      </c>
      <c r="Y49">
        <f>HYPERLINK("https://klasma.github.io/Logging_2061/tillsynsmail/A 18375-2021.docx", "A 18375-2021")</f>
        <v/>
      </c>
    </row>
    <row r="50" ht="15" customHeight="1">
      <c r="A50" t="inlineStr">
        <is>
          <t>A 19473-2021</t>
        </is>
      </c>
      <c r="B50" s="1" t="n">
        <v>44311</v>
      </c>
      <c r="C50" s="1" t="n">
        <v>45210</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19473-2021.xlsx", "A 19473-2021")</f>
        <v/>
      </c>
      <c r="T50">
        <f>HYPERLINK("https://klasma.github.io/Logging_2023/kartor/A 19473-2021.png", "A 19473-2021")</f>
        <v/>
      </c>
      <c r="V50">
        <f>HYPERLINK("https://klasma.github.io/Logging_2023/klagomål/A 19473-2021.docx", "A 19473-2021")</f>
        <v/>
      </c>
      <c r="W50">
        <f>HYPERLINK("https://klasma.github.io/Logging_2023/klagomålsmail/A 19473-2021.docx", "A 19473-2021")</f>
        <v/>
      </c>
      <c r="X50">
        <f>HYPERLINK("https://klasma.github.io/Logging_2023/tillsyn/A 19473-2021.docx", "A 19473-2021")</f>
        <v/>
      </c>
      <c r="Y50">
        <f>HYPERLINK("https://klasma.github.io/Logging_2023/tillsynsmail/A 19473-2021.docx", "A 19473-2021")</f>
        <v/>
      </c>
    </row>
    <row r="51" ht="15" customHeight="1">
      <c r="A51" t="inlineStr">
        <is>
          <t>A 38364-2021</t>
        </is>
      </c>
      <c r="B51" s="1" t="n">
        <v>44406</v>
      </c>
      <c r="C51" s="1" t="n">
        <v>45210</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38364-2021.xlsx", "A 38364-2021")</f>
        <v/>
      </c>
      <c r="T51">
        <f>HYPERLINK("https://klasma.github.io/Logging_2039/kartor/A 38364-2021.png", "A 38364-2021")</f>
        <v/>
      </c>
      <c r="V51">
        <f>HYPERLINK("https://klasma.github.io/Logging_2039/klagomål/A 38364-2021.docx", "A 38364-2021")</f>
        <v/>
      </c>
      <c r="W51">
        <f>HYPERLINK("https://klasma.github.io/Logging_2039/klagomålsmail/A 38364-2021.docx", "A 38364-2021")</f>
        <v/>
      </c>
      <c r="X51">
        <f>HYPERLINK("https://klasma.github.io/Logging_2039/tillsyn/A 38364-2021.docx", "A 38364-2021")</f>
        <v/>
      </c>
      <c r="Y51">
        <f>HYPERLINK("https://klasma.github.io/Logging_2039/tillsynsmail/A 38364-2021.docx", "A 38364-2021")</f>
        <v/>
      </c>
    </row>
    <row r="52" ht="15" customHeight="1">
      <c r="A52" t="inlineStr">
        <is>
          <t>A 12291-2022</t>
        </is>
      </c>
      <c r="B52" s="1" t="n">
        <v>44637</v>
      </c>
      <c r="C52" s="1" t="n">
        <v>45210</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12291-2022.xlsx", "A 12291-2022")</f>
        <v/>
      </c>
      <c r="T52">
        <f>HYPERLINK("https://klasma.github.io/Logging_2023/kartor/A 12291-2022.png", "A 12291-2022")</f>
        <v/>
      </c>
      <c r="V52">
        <f>HYPERLINK("https://klasma.github.io/Logging_2023/klagomål/A 12291-2022.docx", "A 12291-2022")</f>
        <v/>
      </c>
      <c r="W52">
        <f>HYPERLINK("https://klasma.github.io/Logging_2023/klagomålsmail/A 12291-2022.docx", "A 12291-2022")</f>
        <v/>
      </c>
      <c r="X52">
        <f>HYPERLINK("https://klasma.github.io/Logging_2023/tillsyn/A 12291-2022.docx", "A 12291-2022")</f>
        <v/>
      </c>
      <c r="Y52">
        <f>HYPERLINK("https://klasma.github.io/Logging_2023/tillsynsmail/A 12291-2022.docx", "A 12291-2022")</f>
        <v/>
      </c>
    </row>
    <row r="53" ht="15" customHeight="1">
      <c r="A53" t="inlineStr">
        <is>
          <t>A 46458-2022</t>
        </is>
      </c>
      <c r="B53" s="1" t="n">
        <v>44848</v>
      </c>
      <c r="C53" s="1" t="n">
        <v>45210</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46458-2022.xlsx", "A 46458-2022")</f>
        <v/>
      </c>
      <c r="T53">
        <f>HYPERLINK("https://klasma.github.io/Logging_2039/kartor/A 46458-2022.png", "A 46458-2022")</f>
        <v/>
      </c>
      <c r="V53">
        <f>HYPERLINK("https://klasma.github.io/Logging_2039/klagomål/A 46458-2022.docx", "A 46458-2022")</f>
        <v/>
      </c>
      <c r="W53">
        <f>HYPERLINK("https://klasma.github.io/Logging_2039/klagomålsmail/A 46458-2022.docx", "A 46458-2022")</f>
        <v/>
      </c>
      <c r="X53">
        <f>HYPERLINK("https://klasma.github.io/Logging_2039/tillsyn/A 46458-2022.docx", "A 46458-2022")</f>
        <v/>
      </c>
      <c r="Y53">
        <f>HYPERLINK("https://klasma.github.io/Logging_2039/tillsynsmail/A 46458-2022.docx", "A 46458-2022")</f>
        <v/>
      </c>
    </row>
    <row r="54" ht="15" customHeight="1">
      <c r="A54" t="inlineStr">
        <is>
          <t>A 60135-2022</t>
        </is>
      </c>
      <c r="B54" s="1" t="n">
        <v>44909</v>
      </c>
      <c r="C54" s="1" t="n">
        <v>45210</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60135-2022.xlsx", "A 60135-2022")</f>
        <v/>
      </c>
      <c r="T54">
        <f>HYPERLINK("https://klasma.github.io/Logging_2031/kartor/A 60135-2022.png", "A 60135-2022")</f>
        <v/>
      </c>
      <c r="U54">
        <f>HYPERLINK("https://klasma.github.io/Logging_2031/knärot/A 60135-2022.png", "A 60135-2022")</f>
        <v/>
      </c>
      <c r="V54">
        <f>HYPERLINK("https://klasma.github.io/Logging_2031/klagomål/A 60135-2022.docx", "A 60135-2022")</f>
        <v/>
      </c>
      <c r="W54">
        <f>HYPERLINK("https://klasma.github.io/Logging_2031/klagomålsmail/A 60135-2022.docx", "A 60135-2022")</f>
        <v/>
      </c>
      <c r="X54">
        <f>HYPERLINK("https://klasma.github.io/Logging_2031/tillsyn/A 60135-2022.docx", "A 60135-2022")</f>
        <v/>
      </c>
      <c r="Y54">
        <f>HYPERLINK("https://klasma.github.io/Logging_2031/tillsynsmail/A 60135-2022.docx", "A 60135-2022")</f>
        <v/>
      </c>
    </row>
    <row r="55" ht="15" customHeight="1">
      <c r="A55" t="inlineStr">
        <is>
          <t>A 1892-2023</t>
        </is>
      </c>
      <c r="B55" s="1" t="n">
        <v>44939</v>
      </c>
      <c r="C55" s="1" t="n">
        <v>45210</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1892-2023.xlsx", "A 1892-2023")</f>
        <v/>
      </c>
      <c r="T55">
        <f>HYPERLINK("https://klasma.github.io/Logging_2039/kartor/A 1892-2023.png", "A 1892-2023")</f>
        <v/>
      </c>
      <c r="V55">
        <f>HYPERLINK("https://klasma.github.io/Logging_2039/klagomål/A 1892-2023.docx", "A 1892-2023")</f>
        <v/>
      </c>
      <c r="W55">
        <f>HYPERLINK("https://klasma.github.io/Logging_2039/klagomålsmail/A 1892-2023.docx", "A 1892-2023")</f>
        <v/>
      </c>
      <c r="X55">
        <f>HYPERLINK("https://klasma.github.io/Logging_2039/tillsyn/A 1892-2023.docx", "A 1892-2023")</f>
        <v/>
      </c>
      <c r="Y55">
        <f>HYPERLINK("https://klasma.github.io/Logging_2039/tillsynsmail/A 1892-2023.docx", "A 1892-2023")</f>
        <v/>
      </c>
    </row>
    <row r="56" ht="15" customHeight="1">
      <c r="A56" t="inlineStr">
        <is>
          <t>A 30214-2023</t>
        </is>
      </c>
      <c r="B56" s="1" t="n">
        <v>45110</v>
      </c>
      <c r="C56" s="1" t="n">
        <v>45210</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30214-2023.xlsx", "A 30214-2023")</f>
        <v/>
      </c>
      <c r="T56">
        <f>HYPERLINK("https://klasma.github.io/Logging_2039/kartor/A 30214-2023.png", "A 30214-2023")</f>
        <v/>
      </c>
      <c r="V56">
        <f>HYPERLINK("https://klasma.github.io/Logging_2039/klagomål/A 30214-2023.docx", "A 30214-2023")</f>
        <v/>
      </c>
      <c r="W56">
        <f>HYPERLINK("https://klasma.github.io/Logging_2039/klagomålsmail/A 30214-2023.docx", "A 30214-2023")</f>
        <v/>
      </c>
      <c r="X56">
        <f>HYPERLINK("https://klasma.github.io/Logging_2039/tillsyn/A 30214-2023.docx", "A 30214-2023")</f>
        <v/>
      </c>
      <c r="Y56">
        <f>HYPERLINK("https://klasma.github.io/Logging_2039/tillsynsmail/A 30214-2023.docx", "A 30214-2023")</f>
        <v/>
      </c>
    </row>
    <row r="57" ht="15" customHeight="1">
      <c r="A57" t="inlineStr">
        <is>
          <t>A 36038-2023</t>
        </is>
      </c>
      <c r="B57" s="1" t="n">
        <v>45149</v>
      </c>
      <c r="C57" s="1" t="n">
        <v>45210</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36038-2023.xlsx", "A 36038-2023")</f>
        <v/>
      </c>
      <c r="T57">
        <f>HYPERLINK("https://klasma.github.io/Logging_2034/kartor/A 36038-2023.png", "A 36038-2023")</f>
        <v/>
      </c>
      <c r="V57">
        <f>HYPERLINK("https://klasma.github.io/Logging_2034/klagomål/A 36038-2023.docx", "A 36038-2023")</f>
        <v/>
      </c>
      <c r="W57">
        <f>HYPERLINK("https://klasma.github.io/Logging_2034/klagomålsmail/A 36038-2023.docx", "A 36038-2023")</f>
        <v/>
      </c>
      <c r="X57">
        <f>HYPERLINK("https://klasma.github.io/Logging_2034/tillsyn/A 36038-2023.docx", "A 36038-2023")</f>
        <v/>
      </c>
      <c r="Y57">
        <f>HYPERLINK("https://klasma.github.io/Logging_2034/tillsynsmail/A 36038-2023.docx", "A 36038-2023")</f>
        <v/>
      </c>
    </row>
    <row r="58" ht="15" customHeight="1">
      <c r="A58" t="inlineStr">
        <is>
          <t>A 41403-2019</t>
        </is>
      </c>
      <c r="B58" s="1" t="n">
        <v>43698</v>
      </c>
      <c r="C58" s="1" t="n">
        <v>45210</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41403-2019.xlsx", "A 41403-2019")</f>
        <v/>
      </c>
      <c r="T58">
        <f>HYPERLINK("https://klasma.github.io/Logging_2083/kartor/A 41403-2019.png", "A 41403-2019")</f>
        <v/>
      </c>
      <c r="V58">
        <f>HYPERLINK("https://klasma.github.io/Logging_2083/klagomål/A 41403-2019.docx", "A 41403-2019")</f>
        <v/>
      </c>
      <c r="W58">
        <f>HYPERLINK("https://klasma.github.io/Logging_2083/klagomålsmail/A 41403-2019.docx", "A 41403-2019")</f>
        <v/>
      </c>
      <c r="X58">
        <f>HYPERLINK("https://klasma.github.io/Logging_2083/tillsyn/A 41403-2019.docx", "A 41403-2019")</f>
        <v/>
      </c>
      <c r="Y58">
        <f>HYPERLINK("https://klasma.github.io/Logging_2083/tillsynsmail/A 41403-2019.docx", "A 41403-2019")</f>
        <v/>
      </c>
    </row>
    <row r="59" ht="15" customHeight="1">
      <c r="A59" t="inlineStr">
        <is>
          <t>A 51534-2019</t>
        </is>
      </c>
      <c r="B59" s="1" t="n">
        <v>43740</v>
      </c>
      <c r="C59" s="1" t="n">
        <v>45210</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51534-2019.xlsx", "A 51534-2019")</f>
        <v/>
      </c>
      <c r="T59">
        <f>HYPERLINK("https://klasma.github.io/Logging_2031/kartor/A 51534-2019.png", "A 51534-2019")</f>
        <v/>
      </c>
      <c r="V59">
        <f>HYPERLINK("https://klasma.github.io/Logging_2031/klagomål/A 51534-2019.docx", "A 51534-2019")</f>
        <v/>
      </c>
      <c r="W59">
        <f>HYPERLINK("https://klasma.github.io/Logging_2031/klagomålsmail/A 51534-2019.docx", "A 51534-2019")</f>
        <v/>
      </c>
      <c r="X59">
        <f>HYPERLINK("https://klasma.github.io/Logging_2031/tillsyn/A 51534-2019.docx", "A 51534-2019")</f>
        <v/>
      </c>
      <c r="Y59">
        <f>HYPERLINK("https://klasma.github.io/Logging_2031/tillsynsmail/A 51534-2019.docx", "A 51534-2019")</f>
        <v/>
      </c>
    </row>
    <row r="60" ht="15" customHeight="1">
      <c r="A60" t="inlineStr">
        <is>
          <t>A 62204-2019</t>
        </is>
      </c>
      <c r="B60" s="1" t="n">
        <v>43788</v>
      </c>
      <c r="C60" s="1" t="n">
        <v>45210</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62204-2019.xlsx", "A 62204-2019")</f>
        <v/>
      </c>
      <c r="T60">
        <f>HYPERLINK("https://klasma.github.io/Logging_2023/kartor/A 62204-2019.png", "A 62204-2019")</f>
        <v/>
      </c>
      <c r="V60">
        <f>HYPERLINK("https://klasma.github.io/Logging_2023/klagomål/A 62204-2019.docx", "A 62204-2019")</f>
        <v/>
      </c>
      <c r="W60">
        <f>HYPERLINK("https://klasma.github.io/Logging_2023/klagomålsmail/A 62204-2019.docx", "A 62204-2019")</f>
        <v/>
      </c>
      <c r="X60">
        <f>HYPERLINK("https://klasma.github.io/Logging_2023/tillsyn/A 62204-2019.docx", "A 62204-2019")</f>
        <v/>
      </c>
      <c r="Y60">
        <f>HYPERLINK("https://klasma.github.io/Logging_2023/tillsynsmail/A 62204-2019.docx", "A 62204-2019")</f>
        <v/>
      </c>
    </row>
    <row r="61" ht="15" customHeight="1">
      <c r="A61" t="inlineStr">
        <is>
          <t>A 22001-2020</t>
        </is>
      </c>
      <c r="B61" s="1" t="n">
        <v>43959</v>
      </c>
      <c r="C61" s="1" t="n">
        <v>45210</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22001-2020.xlsx", "A 22001-2020")</f>
        <v/>
      </c>
      <c r="T61">
        <f>HYPERLINK("https://klasma.github.io/Logging_2023/kartor/A 22001-2020.png", "A 22001-2020")</f>
        <v/>
      </c>
      <c r="V61">
        <f>HYPERLINK("https://klasma.github.io/Logging_2023/klagomål/A 22001-2020.docx", "A 22001-2020")</f>
        <v/>
      </c>
      <c r="W61">
        <f>HYPERLINK("https://klasma.github.io/Logging_2023/klagomålsmail/A 22001-2020.docx", "A 22001-2020")</f>
        <v/>
      </c>
      <c r="X61">
        <f>HYPERLINK("https://klasma.github.io/Logging_2023/tillsyn/A 22001-2020.docx", "A 22001-2020")</f>
        <v/>
      </c>
      <c r="Y61">
        <f>HYPERLINK("https://klasma.github.io/Logging_2023/tillsynsmail/A 22001-2020.docx", "A 22001-2020")</f>
        <v/>
      </c>
    </row>
    <row r="62" ht="15" customHeight="1">
      <c r="A62" t="inlineStr">
        <is>
          <t>A 50972-2020</t>
        </is>
      </c>
      <c r="B62" s="1" t="n">
        <v>44111</v>
      </c>
      <c r="C62" s="1" t="n">
        <v>45210</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50972-2020.xlsx", "A 50972-2020")</f>
        <v/>
      </c>
      <c r="T62">
        <f>HYPERLINK("https://klasma.github.io/Logging_2034/kartor/A 50972-2020.png", "A 50972-2020")</f>
        <v/>
      </c>
      <c r="V62">
        <f>HYPERLINK("https://klasma.github.io/Logging_2034/klagomål/A 50972-2020.docx", "A 50972-2020")</f>
        <v/>
      </c>
      <c r="W62">
        <f>HYPERLINK("https://klasma.github.io/Logging_2034/klagomålsmail/A 50972-2020.docx", "A 50972-2020")</f>
        <v/>
      </c>
      <c r="X62">
        <f>HYPERLINK("https://klasma.github.io/Logging_2034/tillsyn/A 50972-2020.docx", "A 50972-2020")</f>
        <v/>
      </c>
      <c r="Y62">
        <f>HYPERLINK("https://klasma.github.io/Logging_2034/tillsynsmail/A 50972-2020.docx", "A 50972-2020")</f>
        <v/>
      </c>
    </row>
    <row r="63" ht="15" customHeight="1">
      <c r="A63" t="inlineStr">
        <is>
          <t>A 37343-2021</t>
        </is>
      </c>
      <c r="B63" s="1" t="n">
        <v>44397</v>
      </c>
      <c r="C63" s="1" t="n">
        <v>45210</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37343-2021.xlsx", "A 37343-2021")</f>
        <v/>
      </c>
      <c r="T63">
        <f>HYPERLINK("https://klasma.github.io/Logging_2026/kartor/A 37343-2021.png", "A 37343-2021")</f>
        <v/>
      </c>
      <c r="U63">
        <f>HYPERLINK("https://klasma.github.io/Logging_2026/knärot/A 37343-2021.png", "A 37343-2021")</f>
        <v/>
      </c>
      <c r="V63">
        <f>HYPERLINK("https://klasma.github.io/Logging_2026/klagomål/A 37343-2021.docx", "A 37343-2021")</f>
        <v/>
      </c>
      <c r="W63">
        <f>HYPERLINK("https://klasma.github.io/Logging_2026/klagomålsmail/A 37343-2021.docx", "A 37343-2021")</f>
        <v/>
      </c>
      <c r="X63">
        <f>HYPERLINK("https://klasma.github.io/Logging_2026/tillsyn/A 37343-2021.docx", "A 37343-2021")</f>
        <v/>
      </c>
      <c r="Y63">
        <f>HYPERLINK("https://klasma.github.io/Logging_2026/tillsynsmail/A 37343-2021.docx", "A 37343-2021")</f>
        <v/>
      </c>
    </row>
    <row r="64" ht="15" customHeight="1">
      <c r="A64" t="inlineStr">
        <is>
          <t>A 49876-2021</t>
        </is>
      </c>
      <c r="B64" s="1" t="n">
        <v>44455</v>
      </c>
      <c r="C64" s="1" t="n">
        <v>45210</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49876-2021.xlsx", "A 49876-2021")</f>
        <v/>
      </c>
      <c r="T64">
        <f>HYPERLINK("https://klasma.github.io/Logging_2083/kartor/A 49876-2021.png", "A 49876-2021")</f>
        <v/>
      </c>
      <c r="U64">
        <f>HYPERLINK("https://klasma.github.io/Logging_2083/knärot/A 49876-2021.png", "A 49876-2021")</f>
        <v/>
      </c>
      <c r="V64">
        <f>HYPERLINK("https://klasma.github.io/Logging_2083/klagomål/A 49876-2021.docx", "A 49876-2021")</f>
        <v/>
      </c>
      <c r="W64">
        <f>HYPERLINK("https://klasma.github.io/Logging_2083/klagomålsmail/A 49876-2021.docx", "A 49876-2021")</f>
        <v/>
      </c>
      <c r="X64">
        <f>HYPERLINK("https://klasma.github.io/Logging_2083/tillsyn/A 49876-2021.docx", "A 49876-2021")</f>
        <v/>
      </c>
      <c r="Y64">
        <f>HYPERLINK("https://klasma.github.io/Logging_2083/tillsynsmail/A 49876-2021.docx", "A 49876-2021")</f>
        <v/>
      </c>
    </row>
    <row r="65" ht="15" customHeight="1">
      <c r="A65" t="inlineStr">
        <is>
          <t>A 59728-2021</t>
        </is>
      </c>
      <c r="B65" s="1" t="n">
        <v>44494</v>
      </c>
      <c r="C65" s="1" t="n">
        <v>45210</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59728-2021.xlsx", "A 59728-2021")</f>
        <v/>
      </c>
      <c r="T65">
        <f>HYPERLINK("https://klasma.github.io/Logging_2081/kartor/A 59728-2021.png", "A 59728-2021")</f>
        <v/>
      </c>
      <c r="U65">
        <f>HYPERLINK("https://klasma.github.io/Logging_2081/knärot/A 59728-2021.png", "A 59728-2021")</f>
        <v/>
      </c>
      <c r="V65">
        <f>HYPERLINK("https://klasma.github.io/Logging_2081/klagomål/A 59728-2021.docx", "A 59728-2021")</f>
        <v/>
      </c>
      <c r="W65">
        <f>HYPERLINK("https://klasma.github.io/Logging_2081/klagomålsmail/A 59728-2021.docx", "A 59728-2021")</f>
        <v/>
      </c>
      <c r="X65">
        <f>HYPERLINK("https://klasma.github.io/Logging_2081/tillsyn/A 59728-2021.docx", "A 59728-2021")</f>
        <v/>
      </c>
      <c r="Y65">
        <f>HYPERLINK("https://klasma.github.io/Logging_2081/tillsynsmail/A 59728-2021.docx", "A 59728-2021")</f>
        <v/>
      </c>
    </row>
    <row r="66" ht="15" customHeight="1">
      <c r="A66" t="inlineStr">
        <is>
          <t>A 62040-2021</t>
        </is>
      </c>
      <c r="B66" s="1" t="n">
        <v>44502</v>
      </c>
      <c r="C66" s="1" t="n">
        <v>45210</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62040-2021.xlsx", "A 62040-2021")</f>
        <v/>
      </c>
      <c r="T66">
        <f>HYPERLINK("https://klasma.github.io/Logging_2083/kartor/A 62040-2021.png", "A 62040-2021")</f>
        <v/>
      </c>
      <c r="U66">
        <f>HYPERLINK("https://klasma.github.io/Logging_2083/knärot/A 62040-2021.png", "A 62040-2021")</f>
        <v/>
      </c>
      <c r="V66">
        <f>HYPERLINK("https://klasma.github.io/Logging_2083/klagomål/A 62040-2021.docx", "A 62040-2021")</f>
        <v/>
      </c>
      <c r="W66">
        <f>HYPERLINK("https://klasma.github.io/Logging_2083/klagomålsmail/A 62040-2021.docx", "A 62040-2021")</f>
        <v/>
      </c>
      <c r="X66">
        <f>HYPERLINK("https://klasma.github.io/Logging_2083/tillsyn/A 62040-2021.docx", "A 62040-2021")</f>
        <v/>
      </c>
      <c r="Y66">
        <f>HYPERLINK("https://klasma.github.io/Logging_2083/tillsynsmail/A 62040-2021.docx", "A 62040-2021")</f>
        <v/>
      </c>
    </row>
    <row r="67" ht="15" customHeight="1">
      <c r="A67" t="inlineStr">
        <is>
          <t>A 66637-2021</t>
        </is>
      </c>
      <c r="B67" s="1" t="n">
        <v>44519</v>
      </c>
      <c r="C67" s="1" t="n">
        <v>45210</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66637-2021.xlsx", "A 66637-2021")</f>
        <v/>
      </c>
      <c r="T67">
        <f>HYPERLINK("https://klasma.github.io/Logging_2039/kartor/A 66637-2021.png", "A 66637-2021")</f>
        <v/>
      </c>
      <c r="V67">
        <f>HYPERLINK("https://klasma.github.io/Logging_2039/klagomål/A 66637-2021.docx", "A 66637-2021")</f>
        <v/>
      </c>
      <c r="W67">
        <f>HYPERLINK("https://klasma.github.io/Logging_2039/klagomålsmail/A 66637-2021.docx", "A 66637-2021")</f>
        <v/>
      </c>
      <c r="X67">
        <f>HYPERLINK("https://klasma.github.io/Logging_2039/tillsyn/A 66637-2021.docx", "A 66637-2021")</f>
        <v/>
      </c>
      <c r="Y67">
        <f>HYPERLINK("https://klasma.github.io/Logging_2039/tillsynsmail/A 66637-2021.docx", "A 66637-2021")</f>
        <v/>
      </c>
    </row>
    <row r="68" ht="15" customHeight="1">
      <c r="A68" t="inlineStr">
        <is>
          <t>A 73613-2021</t>
        </is>
      </c>
      <c r="B68" s="1" t="n">
        <v>44552</v>
      </c>
      <c r="C68" s="1" t="n">
        <v>45210</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73613-2021.xlsx", "A 73613-2021")</f>
        <v/>
      </c>
      <c r="T68">
        <f>HYPERLINK("https://klasma.github.io/Logging_2081/kartor/A 73613-2021.png", "A 73613-2021")</f>
        <v/>
      </c>
      <c r="V68">
        <f>HYPERLINK("https://klasma.github.io/Logging_2081/klagomål/A 73613-2021.docx", "A 73613-2021")</f>
        <v/>
      </c>
      <c r="W68">
        <f>HYPERLINK("https://klasma.github.io/Logging_2081/klagomålsmail/A 73613-2021.docx", "A 73613-2021")</f>
        <v/>
      </c>
      <c r="X68">
        <f>HYPERLINK("https://klasma.github.io/Logging_2081/tillsyn/A 73613-2021.docx", "A 73613-2021")</f>
        <v/>
      </c>
      <c r="Y68">
        <f>HYPERLINK("https://klasma.github.io/Logging_2081/tillsynsmail/A 73613-2021.docx", "A 73613-2021")</f>
        <v/>
      </c>
    </row>
    <row r="69" ht="15" customHeight="1">
      <c r="A69" t="inlineStr">
        <is>
          <t>A 30447-2022</t>
        </is>
      </c>
      <c r="B69" s="1" t="n">
        <v>44761</v>
      </c>
      <c r="C69" s="1" t="n">
        <v>45210</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30447-2022.xlsx", "A 30447-2022")</f>
        <v/>
      </c>
      <c r="T69">
        <f>HYPERLINK("https://klasma.github.io/Logging_2085/kartor/A 30447-2022.png", "A 30447-2022")</f>
        <v/>
      </c>
      <c r="V69">
        <f>HYPERLINK("https://klasma.github.io/Logging_2085/klagomål/A 30447-2022.docx", "A 30447-2022")</f>
        <v/>
      </c>
      <c r="W69">
        <f>HYPERLINK("https://klasma.github.io/Logging_2085/klagomålsmail/A 30447-2022.docx", "A 30447-2022")</f>
        <v/>
      </c>
      <c r="X69">
        <f>HYPERLINK("https://klasma.github.io/Logging_2085/tillsyn/A 30447-2022.docx", "A 30447-2022")</f>
        <v/>
      </c>
      <c r="Y69">
        <f>HYPERLINK("https://klasma.github.io/Logging_2085/tillsynsmail/A 30447-2022.docx", "A 30447-2022")</f>
        <v/>
      </c>
    </row>
    <row r="70" ht="15" customHeight="1">
      <c r="A70" t="inlineStr">
        <is>
          <t>A 41913-2022</t>
        </is>
      </c>
      <c r="B70" s="1" t="n">
        <v>44830</v>
      </c>
      <c r="C70" s="1" t="n">
        <v>45210</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41913-2022.xlsx", "A 41913-2022")</f>
        <v/>
      </c>
      <c r="T70">
        <f>HYPERLINK("https://klasma.github.io/Logging_2039/kartor/A 41913-2022.png", "A 41913-2022")</f>
        <v/>
      </c>
      <c r="V70">
        <f>HYPERLINK("https://klasma.github.io/Logging_2039/klagomål/A 41913-2022.docx", "A 41913-2022")</f>
        <v/>
      </c>
      <c r="W70">
        <f>HYPERLINK("https://klasma.github.io/Logging_2039/klagomålsmail/A 41913-2022.docx", "A 41913-2022")</f>
        <v/>
      </c>
      <c r="X70">
        <f>HYPERLINK("https://klasma.github.io/Logging_2039/tillsyn/A 41913-2022.docx", "A 41913-2022")</f>
        <v/>
      </c>
      <c r="Y70">
        <f>HYPERLINK("https://klasma.github.io/Logging_2039/tillsynsmail/A 41913-2022.docx", "A 41913-2022")</f>
        <v/>
      </c>
    </row>
    <row r="71" ht="15" customHeight="1">
      <c r="A71" t="inlineStr">
        <is>
          <t>A 53047-2022</t>
        </is>
      </c>
      <c r="B71" s="1" t="n">
        <v>44876</v>
      </c>
      <c r="C71" s="1" t="n">
        <v>45210</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53047-2022.xlsx", "A 53047-2022")</f>
        <v/>
      </c>
      <c r="T71">
        <f>HYPERLINK("https://klasma.github.io/Logging_2021/kartor/A 53047-2022.png", "A 53047-2022")</f>
        <v/>
      </c>
      <c r="U71">
        <f>HYPERLINK("https://klasma.github.io/Logging_2021/knärot/A 53047-2022.png", "A 53047-2022")</f>
        <v/>
      </c>
      <c r="V71">
        <f>HYPERLINK("https://klasma.github.io/Logging_2021/klagomål/A 53047-2022.docx", "A 53047-2022")</f>
        <v/>
      </c>
      <c r="W71">
        <f>HYPERLINK("https://klasma.github.io/Logging_2021/klagomålsmail/A 53047-2022.docx", "A 53047-2022")</f>
        <v/>
      </c>
      <c r="X71">
        <f>HYPERLINK("https://klasma.github.io/Logging_2021/tillsyn/A 53047-2022.docx", "A 53047-2022")</f>
        <v/>
      </c>
      <c r="Y71">
        <f>HYPERLINK("https://klasma.github.io/Logging_2021/tillsynsmail/A 53047-2022.docx", "A 53047-2022")</f>
        <v/>
      </c>
    </row>
    <row r="72" ht="15" customHeight="1">
      <c r="A72" t="inlineStr">
        <is>
          <t>A 55504-2022</t>
        </is>
      </c>
      <c r="B72" s="1" t="n">
        <v>44887</v>
      </c>
      <c r="C72" s="1" t="n">
        <v>45210</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55504-2022.xlsx", "A 55504-2022")</f>
        <v/>
      </c>
      <c r="T72">
        <f>HYPERLINK("https://klasma.github.io/Logging_2081/kartor/A 55504-2022.png", "A 55504-2022")</f>
        <v/>
      </c>
      <c r="U72">
        <f>HYPERLINK("https://klasma.github.io/Logging_2081/knärot/A 55504-2022.png", "A 55504-2022")</f>
        <v/>
      </c>
      <c r="V72">
        <f>HYPERLINK("https://klasma.github.io/Logging_2081/klagomål/A 55504-2022.docx", "A 55504-2022")</f>
        <v/>
      </c>
      <c r="W72">
        <f>HYPERLINK("https://klasma.github.io/Logging_2081/klagomålsmail/A 55504-2022.docx", "A 55504-2022")</f>
        <v/>
      </c>
      <c r="X72">
        <f>HYPERLINK("https://klasma.github.io/Logging_2081/tillsyn/A 55504-2022.docx", "A 55504-2022")</f>
        <v/>
      </c>
      <c r="Y72">
        <f>HYPERLINK("https://klasma.github.io/Logging_2081/tillsynsmail/A 55504-2022.docx", "A 55504-2022")</f>
        <v/>
      </c>
    </row>
    <row r="73" ht="15" customHeight="1">
      <c r="A73" t="inlineStr">
        <is>
          <t>A 28872-2023</t>
        </is>
      </c>
      <c r="B73" s="1" t="n">
        <v>45104</v>
      </c>
      <c r="C73" s="1" t="n">
        <v>45210</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28872-2023.xlsx", "A 28872-2023")</f>
        <v/>
      </c>
      <c r="T73">
        <f>HYPERLINK("https://klasma.github.io/Logging_2039/kartor/A 28872-2023.png", "A 28872-2023")</f>
        <v/>
      </c>
      <c r="U73">
        <f>HYPERLINK("https://klasma.github.io/Logging_2039/knärot/A 28872-2023.png", "A 28872-2023")</f>
        <v/>
      </c>
      <c r="V73">
        <f>HYPERLINK("https://klasma.github.io/Logging_2039/klagomål/A 28872-2023.docx", "A 28872-2023")</f>
        <v/>
      </c>
      <c r="W73">
        <f>HYPERLINK("https://klasma.github.io/Logging_2039/klagomålsmail/A 28872-2023.docx", "A 28872-2023")</f>
        <v/>
      </c>
      <c r="X73">
        <f>HYPERLINK("https://klasma.github.io/Logging_2039/tillsyn/A 28872-2023.docx", "A 28872-2023")</f>
        <v/>
      </c>
      <c r="Y73">
        <f>HYPERLINK("https://klasma.github.io/Logging_2039/tillsynsmail/A 28872-2023.docx", "A 28872-2023")</f>
        <v/>
      </c>
    </row>
    <row r="74" ht="15" customHeight="1">
      <c r="A74" t="inlineStr">
        <is>
          <t>A 1117-2019</t>
        </is>
      </c>
      <c r="B74" s="1" t="n">
        <v>43472</v>
      </c>
      <c r="C74" s="1" t="n">
        <v>45210</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1117-2019.xlsx", "A 1117-2019")</f>
        <v/>
      </c>
      <c r="T74">
        <f>HYPERLINK("https://klasma.github.io/Logging_2023/kartor/A 1117-2019.png", "A 1117-2019")</f>
        <v/>
      </c>
      <c r="V74">
        <f>HYPERLINK("https://klasma.github.io/Logging_2023/klagomål/A 1117-2019.docx", "A 1117-2019")</f>
        <v/>
      </c>
      <c r="W74">
        <f>HYPERLINK("https://klasma.github.io/Logging_2023/klagomålsmail/A 1117-2019.docx", "A 1117-2019")</f>
        <v/>
      </c>
      <c r="X74">
        <f>HYPERLINK("https://klasma.github.io/Logging_2023/tillsyn/A 1117-2019.docx", "A 1117-2019")</f>
        <v/>
      </c>
      <c r="Y74">
        <f>HYPERLINK("https://klasma.github.io/Logging_2023/tillsynsmail/A 1117-2019.docx", "A 1117-2019")</f>
        <v/>
      </c>
    </row>
    <row r="75" ht="15" customHeight="1">
      <c r="A75" t="inlineStr">
        <is>
          <t>A 41607-2020</t>
        </is>
      </c>
      <c r="B75" s="1" t="n">
        <v>44070</v>
      </c>
      <c r="C75" s="1" t="n">
        <v>45210</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41607-2020.xlsx", "A 41607-2020")</f>
        <v/>
      </c>
      <c r="T75">
        <f>HYPERLINK("https://klasma.github.io/Logging_2023/kartor/A 41607-2020.png", "A 41607-2020")</f>
        <v/>
      </c>
      <c r="U75">
        <f>HYPERLINK("https://klasma.github.io/Logging_2023/knärot/A 41607-2020.png", "A 41607-2020")</f>
        <v/>
      </c>
      <c r="V75">
        <f>HYPERLINK("https://klasma.github.io/Logging_2023/klagomål/A 41607-2020.docx", "A 41607-2020")</f>
        <v/>
      </c>
      <c r="W75">
        <f>HYPERLINK("https://klasma.github.io/Logging_2023/klagomålsmail/A 41607-2020.docx", "A 41607-2020")</f>
        <v/>
      </c>
      <c r="X75">
        <f>HYPERLINK("https://klasma.github.io/Logging_2023/tillsyn/A 41607-2020.docx", "A 41607-2020")</f>
        <v/>
      </c>
      <c r="Y75">
        <f>HYPERLINK("https://klasma.github.io/Logging_2023/tillsynsmail/A 41607-2020.docx", "A 41607-2020")</f>
        <v/>
      </c>
    </row>
    <row r="76" ht="15" customHeight="1">
      <c r="A76" t="inlineStr">
        <is>
          <t>A 66541-2020</t>
        </is>
      </c>
      <c r="B76" s="1" t="n">
        <v>44179</v>
      </c>
      <c r="C76" s="1" t="n">
        <v>45210</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66541-2020.xlsx", "A 66541-2020")</f>
        <v/>
      </c>
      <c r="T76">
        <f>HYPERLINK("https://klasma.github.io/Logging_2083/kartor/A 66541-2020.png", "A 66541-2020")</f>
        <v/>
      </c>
      <c r="U76">
        <f>HYPERLINK("https://klasma.github.io/Logging_2083/knärot/A 66541-2020.png", "A 66541-2020")</f>
        <v/>
      </c>
      <c r="V76">
        <f>HYPERLINK("https://klasma.github.io/Logging_2083/klagomål/A 66541-2020.docx", "A 66541-2020")</f>
        <v/>
      </c>
      <c r="W76">
        <f>HYPERLINK("https://klasma.github.io/Logging_2083/klagomålsmail/A 66541-2020.docx", "A 66541-2020")</f>
        <v/>
      </c>
      <c r="X76">
        <f>HYPERLINK("https://klasma.github.io/Logging_2083/tillsyn/A 66541-2020.docx", "A 66541-2020")</f>
        <v/>
      </c>
      <c r="Y76">
        <f>HYPERLINK("https://klasma.github.io/Logging_2083/tillsynsmail/A 66541-2020.docx", "A 66541-2020")</f>
        <v/>
      </c>
    </row>
    <row r="77" ht="15" customHeight="1">
      <c r="A77" t="inlineStr">
        <is>
          <t>A 3635-2021</t>
        </is>
      </c>
      <c r="B77" s="1" t="n">
        <v>44221</v>
      </c>
      <c r="C77" s="1" t="n">
        <v>45210</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3635-2021.xlsx", "A 3635-2021")</f>
        <v/>
      </c>
      <c r="T77">
        <f>HYPERLINK("https://klasma.github.io/Logging_2085/kartor/A 3635-2021.png", "A 3635-2021")</f>
        <v/>
      </c>
      <c r="V77">
        <f>HYPERLINK("https://klasma.github.io/Logging_2085/klagomål/A 3635-2021.docx", "A 3635-2021")</f>
        <v/>
      </c>
      <c r="W77">
        <f>HYPERLINK("https://klasma.github.io/Logging_2085/klagomålsmail/A 3635-2021.docx", "A 3635-2021")</f>
        <v/>
      </c>
      <c r="X77">
        <f>HYPERLINK("https://klasma.github.io/Logging_2085/tillsyn/A 3635-2021.docx", "A 3635-2021")</f>
        <v/>
      </c>
      <c r="Y77">
        <f>HYPERLINK("https://klasma.github.io/Logging_2085/tillsynsmail/A 3635-2021.docx", "A 3635-2021")</f>
        <v/>
      </c>
    </row>
    <row r="78" ht="15" customHeight="1">
      <c r="A78" t="inlineStr">
        <is>
          <t>A 50080-2021</t>
        </is>
      </c>
      <c r="B78" s="1" t="n">
        <v>44456</v>
      </c>
      <c r="C78" s="1" t="n">
        <v>45210</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50080-2021.xlsx", "A 50080-2021")</f>
        <v/>
      </c>
      <c r="T78">
        <f>HYPERLINK("https://klasma.github.io/Logging_2080/kartor/A 50080-2021.png", "A 50080-2021")</f>
        <v/>
      </c>
      <c r="V78">
        <f>HYPERLINK("https://klasma.github.io/Logging_2080/klagomål/A 50080-2021.docx", "A 50080-2021")</f>
        <v/>
      </c>
      <c r="W78">
        <f>HYPERLINK("https://klasma.github.io/Logging_2080/klagomålsmail/A 50080-2021.docx", "A 50080-2021")</f>
        <v/>
      </c>
      <c r="X78">
        <f>HYPERLINK("https://klasma.github.io/Logging_2080/tillsyn/A 50080-2021.docx", "A 50080-2021")</f>
        <v/>
      </c>
      <c r="Y78">
        <f>HYPERLINK("https://klasma.github.io/Logging_2080/tillsynsmail/A 50080-2021.docx", "A 50080-2021")</f>
        <v/>
      </c>
    </row>
    <row r="79" ht="15" customHeight="1">
      <c r="A79" t="inlineStr">
        <is>
          <t>A 11549-2022</t>
        </is>
      </c>
      <c r="B79" s="1" t="n">
        <v>44631</v>
      </c>
      <c r="C79" s="1" t="n">
        <v>45210</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11549-2022.xlsx", "A 11549-2022")</f>
        <v/>
      </c>
      <c r="T79">
        <f>HYPERLINK("https://klasma.github.io/Logging_2023/kartor/A 11549-2022.png", "A 11549-2022")</f>
        <v/>
      </c>
      <c r="V79">
        <f>HYPERLINK("https://klasma.github.io/Logging_2023/klagomål/A 11549-2022.docx", "A 11549-2022")</f>
        <v/>
      </c>
      <c r="W79">
        <f>HYPERLINK("https://klasma.github.io/Logging_2023/klagomålsmail/A 11549-2022.docx", "A 11549-2022")</f>
        <v/>
      </c>
      <c r="X79">
        <f>HYPERLINK("https://klasma.github.io/Logging_2023/tillsyn/A 11549-2022.docx", "A 11549-2022")</f>
        <v/>
      </c>
      <c r="Y79">
        <f>HYPERLINK("https://klasma.github.io/Logging_2023/tillsynsmail/A 11549-2022.docx", "A 11549-2022")</f>
        <v/>
      </c>
    </row>
    <row r="80" ht="15" customHeight="1">
      <c r="A80" t="inlineStr">
        <is>
          <t>A 15915-2022</t>
        </is>
      </c>
      <c r="B80" s="1" t="n">
        <v>44664</v>
      </c>
      <c r="C80" s="1" t="n">
        <v>45210</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15915-2022.xlsx", "A 15915-2022")</f>
        <v/>
      </c>
      <c r="T80">
        <f>HYPERLINK("https://klasma.github.io/Logging_2080/kartor/A 15915-2022.png", "A 15915-2022")</f>
        <v/>
      </c>
      <c r="U80">
        <f>HYPERLINK("https://klasma.github.io/Logging_2080/knärot/A 15915-2022.png", "A 15915-2022")</f>
        <v/>
      </c>
      <c r="V80">
        <f>HYPERLINK("https://klasma.github.io/Logging_2080/klagomål/A 15915-2022.docx", "A 15915-2022")</f>
        <v/>
      </c>
      <c r="W80">
        <f>HYPERLINK("https://klasma.github.io/Logging_2080/klagomålsmail/A 15915-2022.docx", "A 15915-2022")</f>
        <v/>
      </c>
      <c r="X80">
        <f>HYPERLINK("https://klasma.github.io/Logging_2080/tillsyn/A 15915-2022.docx", "A 15915-2022")</f>
        <v/>
      </c>
      <c r="Y80">
        <f>HYPERLINK("https://klasma.github.io/Logging_2080/tillsynsmail/A 15915-2022.docx", "A 15915-2022")</f>
        <v/>
      </c>
    </row>
    <row r="81" ht="15" customHeight="1">
      <c r="A81" t="inlineStr">
        <is>
          <t>A 16758-2022</t>
        </is>
      </c>
      <c r="B81" s="1" t="n">
        <v>44673</v>
      </c>
      <c r="C81" s="1" t="n">
        <v>45210</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16758-2022.xlsx", "A 16758-2022")</f>
        <v/>
      </c>
      <c r="T81">
        <f>HYPERLINK("https://klasma.github.io/Logging_2039/kartor/A 16758-2022.png", "A 16758-2022")</f>
        <v/>
      </c>
      <c r="V81">
        <f>HYPERLINK("https://klasma.github.io/Logging_2039/klagomål/A 16758-2022.docx", "A 16758-2022")</f>
        <v/>
      </c>
      <c r="W81">
        <f>HYPERLINK("https://klasma.github.io/Logging_2039/klagomålsmail/A 16758-2022.docx", "A 16758-2022")</f>
        <v/>
      </c>
      <c r="X81">
        <f>HYPERLINK("https://klasma.github.io/Logging_2039/tillsyn/A 16758-2022.docx", "A 16758-2022")</f>
        <v/>
      </c>
      <c r="Y81">
        <f>HYPERLINK("https://klasma.github.io/Logging_2039/tillsynsmail/A 16758-2022.docx", "A 16758-2022")</f>
        <v/>
      </c>
    </row>
    <row r="82" ht="15" customHeight="1">
      <c r="A82" t="inlineStr">
        <is>
          <t>A 38847-2022</t>
        </is>
      </c>
      <c r="B82" s="1" t="n">
        <v>44816</v>
      </c>
      <c r="C82" s="1" t="n">
        <v>45210</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38847-2022.xlsx", "A 38847-2022")</f>
        <v/>
      </c>
      <c r="T82">
        <f>HYPERLINK("https://klasma.github.io/Logging_2080/kartor/A 38847-2022.png", "A 38847-2022")</f>
        <v/>
      </c>
      <c r="V82">
        <f>HYPERLINK("https://klasma.github.io/Logging_2080/klagomål/A 38847-2022.docx", "A 38847-2022")</f>
        <v/>
      </c>
      <c r="W82">
        <f>HYPERLINK("https://klasma.github.io/Logging_2080/klagomålsmail/A 38847-2022.docx", "A 38847-2022")</f>
        <v/>
      </c>
      <c r="X82">
        <f>HYPERLINK("https://klasma.github.io/Logging_2080/tillsyn/A 38847-2022.docx", "A 38847-2022")</f>
        <v/>
      </c>
      <c r="Y82">
        <f>HYPERLINK("https://klasma.github.io/Logging_2080/tillsynsmail/A 38847-2022.docx", "A 38847-2022")</f>
        <v/>
      </c>
    </row>
    <row r="83" ht="15" customHeight="1">
      <c r="A83" t="inlineStr">
        <is>
          <t>A 54371-2022</t>
        </is>
      </c>
      <c r="B83" s="1" t="n">
        <v>44879</v>
      </c>
      <c r="C83" s="1" t="n">
        <v>45210</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54371-2022.xlsx", "A 54371-2022")</f>
        <v/>
      </c>
      <c r="T83">
        <f>HYPERLINK("https://klasma.github.io/Logging_2039/kartor/A 54371-2022.png", "A 54371-2022")</f>
        <v/>
      </c>
      <c r="V83">
        <f>HYPERLINK("https://klasma.github.io/Logging_2039/klagomål/A 54371-2022.docx", "A 54371-2022")</f>
        <v/>
      </c>
      <c r="W83">
        <f>HYPERLINK("https://klasma.github.io/Logging_2039/klagomålsmail/A 54371-2022.docx", "A 54371-2022")</f>
        <v/>
      </c>
      <c r="X83">
        <f>HYPERLINK("https://klasma.github.io/Logging_2039/tillsyn/A 54371-2022.docx", "A 54371-2022")</f>
        <v/>
      </c>
      <c r="Y83">
        <f>HYPERLINK("https://klasma.github.io/Logging_2039/tillsynsmail/A 54371-2022.docx", "A 54371-2022")</f>
        <v/>
      </c>
    </row>
    <row r="84" ht="15" customHeight="1">
      <c r="A84" t="inlineStr">
        <is>
          <t>A 58505-2022</t>
        </is>
      </c>
      <c r="B84" s="1" t="n">
        <v>44902</v>
      </c>
      <c r="C84" s="1" t="n">
        <v>45210</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58505-2022.xlsx", "A 58505-2022")</f>
        <v/>
      </c>
      <c r="T84">
        <f>HYPERLINK("https://klasma.github.io/Logging_2083/kartor/A 58505-2022.png", "A 58505-2022")</f>
        <v/>
      </c>
      <c r="U84">
        <f>HYPERLINK("https://klasma.github.io/Logging_2083/knärot/A 58505-2022.png", "A 58505-2022")</f>
        <v/>
      </c>
      <c r="V84">
        <f>HYPERLINK("https://klasma.github.io/Logging_2083/klagomål/A 58505-2022.docx", "A 58505-2022")</f>
        <v/>
      </c>
      <c r="W84">
        <f>HYPERLINK("https://klasma.github.io/Logging_2083/klagomålsmail/A 58505-2022.docx", "A 58505-2022")</f>
        <v/>
      </c>
      <c r="X84">
        <f>HYPERLINK("https://klasma.github.io/Logging_2083/tillsyn/A 58505-2022.docx", "A 58505-2022")</f>
        <v/>
      </c>
      <c r="Y84">
        <f>HYPERLINK("https://klasma.github.io/Logging_2083/tillsynsmail/A 58505-2022.docx", "A 58505-2022")</f>
        <v/>
      </c>
    </row>
    <row r="85" ht="15" customHeight="1">
      <c r="A85" t="inlineStr">
        <is>
          <t>A 60128-2022</t>
        </is>
      </c>
      <c r="B85" s="1" t="n">
        <v>44909</v>
      </c>
      <c r="C85" s="1" t="n">
        <v>45210</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60128-2022.xlsx", "A 60128-2022")</f>
        <v/>
      </c>
      <c r="T85">
        <f>HYPERLINK("https://klasma.github.io/Logging_2031/kartor/A 60128-2022.png", "A 60128-2022")</f>
        <v/>
      </c>
      <c r="V85">
        <f>HYPERLINK("https://klasma.github.io/Logging_2031/klagomål/A 60128-2022.docx", "A 60128-2022")</f>
        <v/>
      </c>
      <c r="W85">
        <f>HYPERLINK("https://klasma.github.io/Logging_2031/klagomålsmail/A 60128-2022.docx", "A 60128-2022")</f>
        <v/>
      </c>
      <c r="X85">
        <f>HYPERLINK("https://klasma.github.io/Logging_2031/tillsyn/A 60128-2022.docx", "A 60128-2022")</f>
        <v/>
      </c>
      <c r="Y85">
        <f>HYPERLINK("https://klasma.github.io/Logging_2031/tillsynsmail/A 60128-2022.docx", "A 60128-2022")</f>
        <v/>
      </c>
    </row>
    <row r="86" ht="15" customHeight="1">
      <c r="A86" t="inlineStr">
        <is>
          <t>A 1912-2023</t>
        </is>
      </c>
      <c r="B86" s="1" t="n">
        <v>44937</v>
      </c>
      <c r="C86" s="1" t="n">
        <v>45210</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1912-2023.xlsx", "A 1912-2023")</f>
        <v/>
      </c>
      <c r="T86">
        <f>HYPERLINK("https://klasma.github.io/Logging_2085/kartor/A 1912-2023.png", "A 1912-2023")</f>
        <v/>
      </c>
      <c r="V86">
        <f>HYPERLINK("https://klasma.github.io/Logging_2085/klagomål/A 1912-2023.docx", "A 1912-2023")</f>
        <v/>
      </c>
      <c r="W86">
        <f>HYPERLINK("https://klasma.github.io/Logging_2085/klagomålsmail/A 1912-2023.docx", "A 1912-2023")</f>
        <v/>
      </c>
      <c r="X86">
        <f>HYPERLINK("https://klasma.github.io/Logging_2085/tillsyn/A 1912-2023.docx", "A 1912-2023")</f>
        <v/>
      </c>
      <c r="Y86">
        <f>HYPERLINK("https://klasma.github.io/Logging_2085/tillsynsmail/A 1912-2023.docx", "A 1912-2023")</f>
        <v/>
      </c>
    </row>
    <row r="87" ht="15" customHeight="1">
      <c r="A87" t="inlineStr">
        <is>
          <t>A 14785-2023</t>
        </is>
      </c>
      <c r="B87" s="1" t="n">
        <v>45014</v>
      </c>
      <c r="C87" s="1" t="n">
        <v>45210</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14785-2023.xlsx", "A 14785-2023")</f>
        <v/>
      </c>
      <c r="T87">
        <f>HYPERLINK("https://klasma.github.io/Logging_2084/kartor/A 14785-2023.png", "A 14785-2023")</f>
        <v/>
      </c>
      <c r="V87">
        <f>HYPERLINK("https://klasma.github.io/Logging_2084/klagomål/A 14785-2023.docx", "A 14785-2023")</f>
        <v/>
      </c>
      <c r="W87">
        <f>HYPERLINK("https://klasma.github.io/Logging_2084/klagomålsmail/A 14785-2023.docx", "A 14785-2023")</f>
        <v/>
      </c>
      <c r="X87">
        <f>HYPERLINK("https://klasma.github.io/Logging_2084/tillsyn/A 14785-2023.docx", "A 14785-2023")</f>
        <v/>
      </c>
      <c r="Y87">
        <f>HYPERLINK("https://klasma.github.io/Logging_2084/tillsynsmail/A 14785-2023.docx", "A 14785-2023")</f>
        <v/>
      </c>
    </row>
    <row r="88" ht="15" customHeight="1">
      <c r="A88" t="inlineStr">
        <is>
          <t>A 40951-2018</t>
        </is>
      </c>
      <c r="B88" s="1" t="n">
        <v>43347</v>
      </c>
      <c r="C88" s="1" t="n">
        <v>45210</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40951-2018.xlsx", "A 40951-2018")</f>
        <v/>
      </c>
      <c r="T88">
        <f>HYPERLINK("https://klasma.github.io/Logging_2083/kartor/A 40951-2018.png", "A 40951-2018")</f>
        <v/>
      </c>
      <c r="U88">
        <f>HYPERLINK("https://klasma.github.io/Logging_2083/knärot/A 40951-2018.png", "A 40951-2018")</f>
        <v/>
      </c>
      <c r="V88">
        <f>HYPERLINK("https://klasma.github.io/Logging_2083/klagomål/A 40951-2018.docx", "A 40951-2018")</f>
        <v/>
      </c>
      <c r="W88">
        <f>HYPERLINK("https://klasma.github.io/Logging_2083/klagomålsmail/A 40951-2018.docx", "A 40951-2018")</f>
        <v/>
      </c>
      <c r="X88">
        <f>HYPERLINK("https://klasma.github.io/Logging_2083/tillsyn/A 40951-2018.docx", "A 40951-2018")</f>
        <v/>
      </c>
      <c r="Y88">
        <f>HYPERLINK("https://klasma.github.io/Logging_2083/tillsynsmail/A 40951-2018.docx", "A 40951-2018")</f>
        <v/>
      </c>
    </row>
    <row r="89" ht="15" customHeight="1">
      <c r="A89" t="inlineStr">
        <is>
          <t>A 55850-2018</t>
        </is>
      </c>
      <c r="B89" s="1" t="n">
        <v>43398</v>
      </c>
      <c r="C89" s="1" t="n">
        <v>45210</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55850-2018.xlsx", "A 55850-2018")</f>
        <v/>
      </c>
      <c r="T89">
        <f>HYPERLINK("https://klasma.github.io/Logging_2023/kartor/A 55850-2018.png", "A 55850-2018")</f>
        <v/>
      </c>
      <c r="V89">
        <f>HYPERLINK("https://klasma.github.io/Logging_2023/klagomål/A 55850-2018.docx", "A 55850-2018")</f>
        <v/>
      </c>
      <c r="W89">
        <f>HYPERLINK("https://klasma.github.io/Logging_2023/klagomålsmail/A 55850-2018.docx", "A 55850-2018")</f>
        <v/>
      </c>
      <c r="X89">
        <f>HYPERLINK("https://klasma.github.io/Logging_2023/tillsyn/A 55850-2018.docx", "A 55850-2018")</f>
        <v/>
      </c>
      <c r="Y89">
        <f>HYPERLINK("https://klasma.github.io/Logging_2023/tillsynsmail/A 55850-2018.docx", "A 55850-2018")</f>
        <v/>
      </c>
    </row>
    <row r="90" ht="15" customHeight="1">
      <c r="A90" t="inlineStr">
        <is>
          <t>A 30548-2019</t>
        </is>
      </c>
      <c r="B90" s="1" t="n">
        <v>43635</v>
      </c>
      <c r="C90" s="1" t="n">
        <v>45210</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30548-2019.xlsx", "A 30548-2019")</f>
        <v/>
      </c>
      <c r="T90">
        <f>HYPERLINK("https://klasma.github.io/Logging_2023/kartor/A 30548-2019.png", "A 30548-2019")</f>
        <v/>
      </c>
      <c r="V90">
        <f>HYPERLINK("https://klasma.github.io/Logging_2023/klagomål/A 30548-2019.docx", "A 30548-2019")</f>
        <v/>
      </c>
      <c r="W90">
        <f>HYPERLINK("https://klasma.github.io/Logging_2023/klagomålsmail/A 30548-2019.docx", "A 30548-2019")</f>
        <v/>
      </c>
      <c r="X90">
        <f>HYPERLINK("https://klasma.github.io/Logging_2023/tillsyn/A 30548-2019.docx", "A 30548-2019")</f>
        <v/>
      </c>
      <c r="Y90">
        <f>HYPERLINK("https://klasma.github.io/Logging_2023/tillsynsmail/A 30548-2019.docx", "A 30548-2019")</f>
        <v/>
      </c>
    </row>
    <row r="91" ht="15" customHeight="1">
      <c r="A91" t="inlineStr">
        <is>
          <t>A 39809-2020</t>
        </is>
      </c>
      <c r="B91" s="1" t="n">
        <v>44067</v>
      </c>
      <c r="C91" s="1" t="n">
        <v>45210</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39809-2020.xlsx", "A 39809-2020")</f>
        <v/>
      </c>
      <c r="T91">
        <f>HYPERLINK("https://klasma.github.io/Logging_2026/kartor/A 39809-2020.png", "A 39809-2020")</f>
        <v/>
      </c>
      <c r="V91">
        <f>HYPERLINK("https://klasma.github.io/Logging_2026/klagomål/A 39809-2020.docx", "A 39809-2020")</f>
        <v/>
      </c>
      <c r="W91">
        <f>HYPERLINK("https://klasma.github.io/Logging_2026/klagomålsmail/A 39809-2020.docx", "A 39809-2020")</f>
        <v/>
      </c>
      <c r="X91">
        <f>HYPERLINK("https://klasma.github.io/Logging_2026/tillsyn/A 39809-2020.docx", "A 39809-2020")</f>
        <v/>
      </c>
      <c r="Y91">
        <f>HYPERLINK("https://klasma.github.io/Logging_2026/tillsynsmail/A 39809-2020.docx", "A 39809-2020")</f>
        <v/>
      </c>
    </row>
    <row r="92" ht="15" customHeight="1">
      <c r="A92" t="inlineStr">
        <is>
          <t>A 54028-2020</t>
        </is>
      </c>
      <c r="B92" s="1" t="n">
        <v>44125</v>
      </c>
      <c r="C92" s="1" t="n">
        <v>45210</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54028-2020.xlsx", "A 54028-2020")</f>
        <v/>
      </c>
      <c r="T92">
        <f>HYPERLINK("https://klasma.github.io/Logging_2062/kartor/A 54028-2020.png", "A 54028-2020")</f>
        <v/>
      </c>
      <c r="V92">
        <f>HYPERLINK("https://klasma.github.io/Logging_2062/klagomål/A 54028-2020.docx", "A 54028-2020")</f>
        <v/>
      </c>
      <c r="W92">
        <f>HYPERLINK("https://klasma.github.io/Logging_2062/klagomålsmail/A 54028-2020.docx", "A 54028-2020")</f>
        <v/>
      </c>
      <c r="X92">
        <f>HYPERLINK("https://klasma.github.io/Logging_2062/tillsyn/A 54028-2020.docx", "A 54028-2020")</f>
        <v/>
      </c>
      <c r="Y92">
        <f>HYPERLINK("https://klasma.github.io/Logging_2062/tillsynsmail/A 54028-2020.docx", "A 54028-2020")</f>
        <v/>
      </c>
    </row>
    <row r="93" ht="15" customHeight="1">
      <c r="A93" t="inlineStr">
        <is>
          <t>A 54380-2020</t>
        </is>
      </c>
      <c r="B93" s="1" t="n">
        <v>44126</v>
      </c>
      <c r="C93" s="1" t="n">
        <v>45210</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54380-2020.xlsx", "A 54380-2020")</f>
        <v/>
      </c>
      <c r="T93">
        <f>HYPERLINK("https://klasma.github.io/Logging_2083/kartor/A 54380-2020.png", "A 54380-2020")</f>
        <v/>
      </c>
      <c r="U93">
        <f>HYPERLINK("https://klasma.github.io/Logging_2083/knärot/A 54380-2020.png", "A 54380-2020")</f>
        <v/>
      </c>
      <c r="V93">
        <f>HYPERLINK("https://klasma.github.io/Logging_2083/klagomål/A 54380-2020.docx", "A 54380-2020")</f>
        <v/>
      </c>
      <c r="W93">
        <f>HYPERLINK("https://klasma.github.io/Logging_2083/klagomålsmail/A 54380-2020.docx", "A 54380-2020")</f>
        <v/>
      </c>
      <c r="X93">
        <f>HYPERLINK("https://klasma.github.io/Logging_2083/tillsyn/A 54380-2020.docx", "A 54380-2020")</f>
        <v/>
      </c>
      <c r="Y93">
        <f>HYPERLINK("https://klasma.github.io/Logging_2083/tillsynsmail/A 54380-2020.docx", "A 54380-2020")</f>
        <v/>
      </c>
    </row>
    <row r="94" ht="15" customHeight="1">
      <c r="A94" t="inlineStr">
        <is>
          <t>A 6359-2021</t>
        </is>
      </c>
      <c r="B94" s="1" t="n">
        <v>44232</v>
      </c>
      <c r="C94" s="1" t="n">
        <v>45210</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6359-2021.xlsx", "A 6359-2021")</f>
        <v/>
      </c>
      <c r="T94">
        <f>HYPERLINK("https://klasma.github.io/Logging_2023/kartor/A 6359-2021.png", "A 6359-2021")</f>
        <v/>
      </c>
      <c r="V94">
        <f>HYPERLINK("https://klasma.github.io/Logging_2023/klagomål/A 6359-2021.docx", "A 6359-2021")</f>
        <v/>
      </c>
      <c r="W94">
        <f>HYPERLINK("https://klasma.github.io/Logging_2023/klagomålsmail/A 6359-2021.docx", "A 6359-2021")</f>
        <v/>
      </c>
      <c r="X94">
        <f>HYPERLINK("https://klasma.github.io/Logging_2023/tillsyn/A 6359-2021.docx", "A 6359-2021")</f>
        <v/>
      </c>
      <c r="Y94">
        <f>HYPERLINK("https://klasma.github.io/Logging_2023/tillsynsmail/A 6359-2021.docx", "A 6359-2021")</f>
        <v/>
      </c>
    </row>
    <row r="95" ht="15" customHeight="1">
      <c r="A95" t="inlineStr">
        <is>
          <t>A 35844-2021</t>
        </is>
      </c>
      <c r="B95" s="1" t="n">
        <v>44386</v>
      </c>
      <c r="C95" s="1" t="n">
        <v>45210</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35844-2021.xlsx", "A 35844-2021")</f>
        <v/>
      </c>
      <c r="T95">
        <f>HYPERLINK("https://klasma.github.io/Logging_2084/kartor/A 35844-2021.png", "A 35844-2021")</f>
        <v/>
      </c>
      <c r="V95">
        <f>HYPERLINK("https://klasma.github.io/Logging_2084/klagomål/A 35844-2021.docx", "A 35844-2021")</f>
        <v/>
      </c>
      <c r="W95">
        <f>HYPERLINK("https://klasma.github.io/Logging_2084/klagomålsmail/A 35844-2021.docx", "A 35844-2021")</f>
        <v/>
      </c>
      <c r="X95">
        <f>HYPERLINK("https://klasma.github.io/Logging_2084/tillsyn/A 35844-2021.docx", "A 35844-2021")</f>
        <v/>
      </c>
      <c r="Y95">
        <f>HYPERLINK("https://klasma.github.io/Logging_2084/tillsynsmail/A 35844-2021.docx", "A 35844-2021")</f>
        <v/>
      </c>
    </row>
    <row r="96" ht="15" customHeight="1">
      <c r="A96" t="inlineStr">
        <is>
          <t>A 67302-2021</t>
        </is>
      </c>
      <c r="B96" s="1" t="n">
        <v>44523</v>
      </c>
      <c r="C96" s="1" t="n">
        <v>45210</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67302-2021.xlsx", "A 67302-2021")</f>
        <v/>
      </c>
      <c r="T96">
        <f>HYPERLINK("https://klasma.github.io/Logging_2023/kartor/A 67302-2021.png", "A 67302-2021")</f>
        <v/>
      </c>
      <c r="V96">
        <f>HYPERLINK("https://klasma.github.io/Logging_2023/klagomål/A 67302-2021.docx", "A 67302-2021")</f>
        <v/>
      </c>
      <c r="W96">
        <f>HYPERLINK("https://klasma.github.io/Logging_2023/klagomålsmail/A 67302-2021.docx", "A 67302-2021")</f>
        <v/>
      </c>
      <c r="X96">
        <f>HYPERLINK("https://klasma.github.io/Logging_2023/tillsyn/A 67302-2021.docx", "A 67302-2021")</f>
        <v/>
      </c>
      <c r="Y96">
        <f>HYPERLINK("https://klasma.github.io/Logging_2023/tillsynsmail/A 67302-2021.docx", "A 67302-2021")</f>
        <v/>
      </c>
    </row>
    <row r="97" ht="15" customHeight="1">
      <c r="A97" t="inlineStr">
        <is>
          <t>A 73456-2021</t>
        </is>
      </c>
      <c r="B97" s="1" t="n">
        <v>44551</v>
      </c>
      <c r="C97" s="1" t="n">
        <v>45210</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73456-2021.xlsx", "A 73456-2021")</f>
        <v/>
      </c>
      <c r="T97">
        <f>HYPERLINK("https://klasma.github.io/Logging_2083/kartor/A 73456-2021.png", "A 73456-2021")</f>
        <v/>
      </c>
      <c r="U97">
        <f>HYPERLINK("https://klasma.github.io/Logging_2083/knärot/A 73456-2021.png", "A 73456-2021")</f>
        <v/>
      </c>
      <c r="V97">
        <f>HYPERLINK("https://klasma.github.io/Logging_2083/klagomål/A 73456-2021.docx", "A 73456-2021")</f>
        <v/>
      </c>
      <c r="W97">
        <f>HYPERLINK("https://klasma.github.io/Logging_2083/klagomålsmail/A 73456-2021.docx", "A 73456-2021")</f>
        <v/>
      </c>
      <c r="X97">
        <f>HYPERLINK("https://klasma.github.io/Logging_2083/tillsyn/A 73456-2021.docx", "A 73456-2021")</f>
        <v/>
      </c>
      <c r="Y97">
        <f>HYPERLINK("https://klasma.github.io/Logging_2083/tillsynsmail/A 73456-2021.docx", "A 73456-2021")</f>
        <v/>
      </c>
    </row>
    <row r="98" ht="15" customHeight="1">
      <c r="A98" t="inlineStr">
        <is>
          <t>A 19456-2022</t>
        </is>
      </c>
      <c r="B98" s="1" t="n">
        <v>44693</v>
      </c>
      <c r="C98" s="1" t="n">
        <v>45210</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19456-2022.xlsx", "A 19456-2022")</f>
        <v/>
      </c>
      <c r="T98">
        <f>HYPERLINK("https://klasma.github.io/Logging_2062/kartor/A 19456-2022.png", "A 19456-2022")</f>
        <v/>
      </c>
      <c r="V98">
        <f>HYPERLINK("https://klasma.github.io/Logging_2062/klagomål/A 19456-2022.docx", "A 19456-2022")</f>
        <v/>
      </c>
      <c r="W98">
        <f>HYPERLINK("https://klasma.github.io/Logging_2062/klagomålsmail/A 19456-2022.docx", "A 19456-2022")</f>
        <v/>
      </c>
      <c r="X98">
        <f>HYPERLINK("https://klasma.github.io/Logging_2062/tillsyn/A 19456-2022.docx", "A 19456-2022")</f>
        <v/>
      </c>
      <c r="Y98">
        <f>HYPERLINK("https://klasma.github.io/Logging_2062/tillsynsmail/A 19456-2022.docx", "A 19456-2022")</f>
        <v/>
      </c>
    </row>
    <row r="99" ht="15" customHeight="1">
      <c r="A99" t="inlineStr">
        <is>
          <t>A 47504-2022</t>
        </is>
      </c>
      <c r="B99" s="1" t="n">
        <v>44853</v>
      </c>
      <c r="C99" s="1" t="n">
        <v>45210</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47504-2022.xlsx", "A 47504-2022")</f>
        <v/>
      </c>
      <c r="T99">
        <f>HYPERLINK("https://klasma.github.io/Logging_2039/kartor/A 47504-2022.png", "A 47504-2022")</f>
        <v/>
      </c>
      <c r="V99">
        <f>HYPERLINK("https://klasma.github.io/Logging_2039/klagomål/A 47504-2022.docx", "A 47504-2022")</f>
        <v/>
      </c>
      <c r="W99">
        <f>HYPERLINK("https://klasma.github.io/Logging_2039/klagomålsmail/A 47504-2022.docx", "A 47504-2022")</f>
        <v/>
      </c>
      <c r="X99">
        <f>HYPERLINK("https://klasma.github.io/Logging_2039/tillsyn/A 47504-2022.docx", "A 47504-2022")</f>
        <v/>
      </c>
      <c r="Y99">
        <f>HYPERLINK("https://klasma.github.io/Logging_2039/tillsynsmail/A 47504-2022.docx", "A 47504-2022")</f>
        <v/>
      </c>
    </row>
    <row r="100" ht="15" customHeight="1">
      <c r="A100" t="inlineStr">
        <is>
          <t>A 49765-2022</t>
        </is>
      </c>
      <c r="B100" s="1" t="n">
        <v>44859</v>
      </c>
      <c r="C100" s="1" t="n">
        <v>45210</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49765-2022.xlsx", "A 49765-2022")</f>
        <v/>
      </c>
      <c r="T100">
        <f>HYPERLINK("https://klasma.github.io/Logging_2061/kartor/A 49765-2022.png", "A 49765-2022")</f>
        <v/>
      </c>
      <c r="U100">
        <f>HYPERLINK("https://klasma.github.io/Logging_2061/knärot/A 49765-2022.png", "A 49765-2022")</f>
        <v/>
      </c>
      <c r="V100">
        <f>HYPERLINK("https://klasma.github.io/Logging_2061/klagomål/A 49765-2022.docx", "A 49765-2022")</f>
        <v/>
      </c>
      <c r="W100">
        <f>HYPERLINK("https://klasma.github.io/Logging_2061/klagomålsmail/A 49765-2022.docx", "A 49765-2022")</f>
        <v/>
      </c>
      <c r="X100">
        <f>HYPERLINK("https://klasma.github.io/Logging_2061/tillsyn/A 49765-2022.docx", "A 49765-2022")</f>
        <v/>
      </c>
      <c r="Y100">
        <f>HYPERLINK("https://klasma.github.io/Logging_2061/tillsynsmail/A 49765-2022.docx", "A 49765-2022")</f>
        <v/>
      </c>
    </row>
    <row r="101" ht="15" customHeight="1">
      <c r="A101" t="inlineStr">
        <is>
          <t>A 52620-2022</t>
        </is>
      </c>
      <c r="B101" s="1" t="n">
        <v>44874</v>
      </c>
      <c r="C101" s="1" t="n">
        <v>45210</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52620-2022.xlsx", "A 52620-2022")</f>
        <v/>
      </c>
      <c r="T101">
        <f>HYPERLINK("https://klasma.github.io/Logging_2031/kartor/A 52620-2022.png", "A 52620-2022")</f>
        <v/>
      </c>
      <c r="V101">
        <f>HYPERLINK("https://klasma.github.io/Logging_2031/klagomål/A 52620-2022.docx", "A 52620-2022")</f>
        <v/>
      </c>
      <c r="W101">
        <f>HYPERLINK("https://klasma.github.io/Logging_2031/klagomålsmail/A 52620-2022.docx", "A 52620-2022")</f>
        <v/>
      </c>
      <c r="X101">
        <f>HYPERLINK("https://klasma.github.io/Logging_2031/tillsyn/A 52620-2022.docx", "A 52620-2022")</f>
        <v/>
      </c>
      <c r="Y101">
        <f>HYPERLINK("https://klasma.github.io/Logging_2031/tillsynsmail/A 52620-2022.docx", "A 52620-2022")</f>
        <v/>
      </c>
    </row>
    <row r="102" ht="15" customHeight="1">
      <c r="A102" t="inlineStr">
        <is>
          <t>A 35869-2023</t>
        </is>
      </c>
      <c r="B102" s="1" t="n">
        <v>45147</v>
      </c>
      <c r="C102" s="1" t="n">
        <v>45210</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35869-2023.xlsx", "A 35869-2023")</f>
        <v/>
      </c>
      <c r="T102">
        <f>HYPERLINK("https://klasma.github.io/Logging_2031/kartor/A 35869-2023.png", "A 35869-2023")</f>
        <v/>
      </c>
      <c r="V102">
        <f>HYPERLINK("https://klasma.github.io/Logging_2031/klagomål/A 35869-2023.docx", "A 35869-2023")</f>
        <v/>
      </c>
      <c r="W102">
        <f>HYPERLINK("https://klasma.github.io/Logging_2031/klagomålsmail/A 35869-2023.docx", "A 35869-2023")</f>
        <v/>
      </c>
      <c r="X102">
        <f>HYPERLINK("https://klasma.github.io/Logging_2031/tillsyn/A 35869-2023.docx", "A 35869-2023")</f>
        <v/>
      </c>
      <c r="Y102">
        <f>HYPERLINK("https://klasma.github.io/Logging_2031/tillsynsmail/A 35869-2023.docx", "A 35869-2023")</f>
        <v/>
      </c>
    </row>
    <row r="103" ht="15" customHeight="1">
      <c r="A103" t="inlineStr">
        <is>
          <t>A 36883-2023</t>
        </is>
      </c>
      <c r="B103" s="1" t="n">
        <v>45154</v>
      </c>
      <c r="C103" s="1" t="n">
        <v>45210</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36883-2023.xlsx", "A 36883-2023")</f>
        <v/>
      </c>
      <c r="T103">
        <f>HYPERLINK("https://klasma.github.io/Logging_2034/kartor/A 36883-2023.png", "A 36883-2023")</f>
        <v/>
      </c>
      <c r="V103">
        <f>HYPERLINK("https://klasma.github.io/Logging_2034/klagomål/A 36883-2023.docx", "A 36883-2023")</f>
        <v/>
      </c>
      <c r="W103">
        <f>HYPERLINK("https://klasma.github.io/Logging_2034/klagomålsmail/A 36883-2023.docx", "A 36883-2023")</f>
        <v/>
      </c>
      <c r="X103">
        <f>HYPERLINK("https://klasma.github.io/Logging_2034/tillsyn/A 36883-2023.docx", "A 36883-2023")</f>
        <v/>
      </c>
      <c r="Y103">
        <f>HYPERLINK("https://klasma.github.io/Logging_2034/tillsynsmail/A 36883-2023.docx", "A 36883-2023")</f>
        <v/>
      </c>
    </row>
    <row r="104" ht="15" customHeight="1">
      <c r="A104" t="inlineStr">
        <is>
          <t>A 62318-2019</t>
        </is>
      </c>
      <c r="B104" s="1" t="n">
        <v>43788</v>
      </c>
      <c r="C104" s="1" t="n">
        <v>45210</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62318-2019.xlsx", "A 62318-2019")</f>
        <v/>
      </c>
      <c r="T104">
        <f>HYPERLINK("https://klasma.github.io/Logging_2023/kartor/A 62318-2019.png", "A 62318-2019")</f>
        <v/>
      </c>
      <c r="V104">
        <f>HYPERLINK("https://klasma.github.io/Logging_2023/klagomål/A 62318-2019.docx", "A 62318-2019")</f>
        <v/>
      </c>
      <c r="W104">
        <f>HYPERLINK("https://klasma.github.io/Logging_2023/klagomålsmail/A 62318-2019.docx", "A 62318-2019")</f>
        <v/>
      </c>
      <c r="X104">
        <f>HYPERLINK("https://klasma.github.io/Logging_2023/tillsyn/A 62318-2019.docx", "A 62318-2019")</f>
        <v/>
      </c>
      <c r="Y104">
        <f>HYPERLINK("https://klasma.github.io/Logging_2023/tillsynsmail/A 62318-2019.docx", "A 62318-2019")</f>
        <v/>
      </c>
    </row>
    <row r="105" ht="15" customHeight="1">
      <c r="A105" t="inlineStr">
        <is>
          <t>A 25094-2020</t>
        </is>
      </c>
      <c r="B105" s="1" t="n">
        <v>43979</v>
      </c>
      <c r="C105" s="1" t="n">
        <v>45210</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25094-2020.xlsx", "A 25094-2020")</f>
        <v/>
      </c>
      <c r="T105">
        <f>HYPERLINK("https://klasma.github.io/Logging_2062/kartor/A 25094-2020.png", "A 25094-2020")</f>
        <v/>
      </c>
      <c r="V105">
        <f>HYPERLINK("https://klasma.github.io/Logging_2062/klagomål/A 25094-2020.docx", "A 25094-2020")</f>
        <v/>
      </c>
      <c r="W105">
        <f>HYPERLINK("https://klasma.github.io/Logging_2062/klagomålsmail/A 25094-2020.docx", "A 25094-2020")</f>
        <v/>
      </c>
      <c r="X105">
        <f>HYPERLINK("https://klasma.github.io/Logging_2062/tillsyn/A 25094-2020.docx", "A 25094-2020")</f>
        <v/>
      </c>
      <c r="Y105">
        <f>HYPERLINK("https://klasma.github.io/Logging_2062/tillsynsmail/A 25094-2020.docx", "A 25094-2020")</f>
        <v/>
      </c>
    </row>
    <row r="106" ht="15" customHeight="1">
      <c r="A106" t="inlineStr">
        <is>
          <t>A 33608-2021</t>
        </is>
      </c>
      <c r="B106" s="1" t="n">
        <v>44378</v>
      </c>
      <c r="C106" s="1" t="n">
        <v>45210</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33608-2021.xlsx", "A 33608-2021")</f>
        <v/>
      </c>
      <c r="T106">
        <f>HYPERLINK("https://klasma.github.io/Logging_2039/kartor/A 33608-2021.png", "A 33608-2021")</f>
        <v/>
      </c>
      <c r="V106">
        <f>HYPERLINK("https://klasma.github.io/Logging_2039/klagomål/A 33608-2021.docx", "A 33608-2021")</f>
        <v/>
      </c>
      <c r="W106">
        <f>HYPERLINK("https://klasma.github.io/Logging_2039/klagomålsmail/A 33608-2021.docx", "A 33608-2021")</f>
        <v/>
      </c>
      <c r="X106">
        <f>HYPERLINK("https://klasma.github.io/Logging_2039/tillsyn/A 33608-2021.docx", "A 33608-2021")</f>
        <v/>
      </c>
      <c r="Y106">
        <f>HYPERLINK("https://klasma.github.io/Logging_2039/tillsynsmail/A 33608-2021.docx", "A 33608-2021")</f>
        <v/>
      </c>
    </row>
    <row r="107" ht="15" customHeight="1">
      <c r="A107" t="inlineStr">
        <is>
          <t>A 54314-2021</t>
        </is>
      </c>
      <c r="B107" s="1" t="n">
        <v>44472</v>
      </c>
      <c r="C107" s="1" t="n">
        <v>45210</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54314-2021.xlsx", "A 54314-2021")</f>
        <v/>
      </c>
      <c r="T107">
        <f>HYPERLINK("https://klasma.github.io/Logging_2039/kartor/A 54314-2021.png", "A 54314-2021")</f>
        <v/>
      </c>
      <c r="V107">
        <f>HYPERLINK("https://klasma.github.io/Logging_2039/klagomål/A 54314-2021.docx", "A 54314-2021")</f>
        <v/>
      </c>
      <c r="W107">
        <f>HYPERLINK("https://klasma.github.io/Logging_2039/klagomålsmail/A 54314-2021.docx", "A 54314-2021")</f>
        <v/>
      </c>
      <c r="X107">
        <f>HYPERLINK("https://klasma.github.io/Logging_2039/tillsyn/A 54314-2021.docx", "A 54314-2021")</f>
        <v/>
      </c>
      <c r="Y107">
        <f>HYPERLINK("https://klasma.github.io/Logging_2039/tillsynsmail/A 54314-2021.docx", "A 54314-2021")</f>
        <v/>
      </c>
    </row>
    <row r="108" ht="15" customHeight="1">
      <c r="A108" t="inlineStr">
        <is>
          <t>A 54671-2021</t>
        </is>
      </c>
      <c r="B108" s="1" t="n">
        <v>44473</v>
      </c>
      <c r="C108" s="1" t="n">
        <v>45210</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54671-2021.xlsx", "A 54671-2021")</f>
        <v/>
      </c>
      <c r="T108">
        <f>HYPERLINK("https://klasma.github.io/Logging_2039/kartor/A 54671-2021.png", "A 54671-2021")</f>
        <v/>
      </c>
      <c r="V108">
        <f>HYPERLINK("https://klasma.github.io/Logging_2039/klagomål/A 54671-2021.docx", "A 54671-2021")</f>
        <v/>
      </c>
      <c r="W108">
        <f>HYPERLINK("https://klasma.github.io/Logging_2039/klagomålsmail/A 54671-2021.docx", "A 54671-2021")</f>
        <v/>
      </c>
      <c r="X108">
        <f>HYPERLINK("https://klasma.github.io/Logging_2039/tillsyn/A 54671-2021.docx", "A 54671-2021")</f>
        <v/>
      </c>
      <c r="Y108">
        <f>HYPERLINK("https://klasma.github.io/Logging_2039/tillsynsmail/A 54671-2021.docx", "A 54671-2021")</f>
        <v/>
      </c>
    </row>
    <row r="109" ht="15" customHeight="1">
      <c r="A109" t="inlineStr">
        <is>
          <t>A 22647-2022</t>
        </is>
      </c>
      <c r="B109" s="1" t="n">
        <v>44714</v>
      </c>
      <c r="C109" s="1" t="n">
        <v>45210</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22647-2022.xlsx", "A 22647-2022")</f>
        <v/>
      </c>
      <c r="T109">
        <f>HYPERLINK("https://klasma.github.io/Logging_2034/kartor/A 22647-2022.png", "A 22647-2022")</f>
        <v/>
      </c>
      <c r="U109">
        <f>HYPERLINK("https://klasma.github.io/Logging_2034/knärot/A 22647-2022.png", "A 22647-2022")</f>
        <v/>
      </c>
      <c r="V109">
        <f>HYPERLINK("https://klasma.github.io/Logging_2034/klagomål/A 22647-2022.docx", "A 22647-2022")</f>
        <v/>
      </c>
      <c r="W109">
        <f>HYPERLINK("https://klasma.github.io/Logging_2034/klagomålsmail/A 22647-2022.docx", "A 22647-2022")</f>
        <v/>
      </c>
      <c r="X109">
        <f>HYPERLINK("https://klasma.github.io/Logging_2034/tillsyn/A 22647-2022.docx", "A 22647-2022")</f>
        <v/>
      </c>
      <c r="Y109">
        <f>HYPERLINK("https://klasma.github.io/Logging_2034/tillsynsmail/A 22647-2022.docx", "A 22647-2022")</f>
        <v/>
      </c>
    </row>
    <row r="110" ht="15" customHeight="1">
      <c r="A110" t="inlineStr">
        <is>
          <t>A 39135-2022</t>
        </is>
      </c>
      <c r="B110" s="1" t="n">
        <v>44817</v>
      </c>
      <c r="C110" s="1" t="n">
        <v>45210</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39135-2022.xlsx", "A 39135-2022")</f>
        <v/>
      </c>
      <c r="T110">
        <f>HYPERLINK("https://klasma.github.io/Logging_2080/kartor/A 39135-2022.png", "A 39135-2022")</f>
        <v/>
      </c>
      <c r="V110">
        <f>HYPERLINK("https://klasma.github.io/Logging_2080/klagomål/A 39135-2022.docx", "A 39135-2022")</f>
        <v/>
      </c>
      <c r="W110">
        <f>HYPERLINK("https://klasma.github.io/Logging_2080/klagomålsmail/A 39135-2022.docx", "A 39135-2022")</f>
        <v/>
      </c>
      <c r="X110">
        <f>HYPERLINK("https://klasma.github.io/Logging_2080/tillsyn/A 39135-2022.docx", "A 39135-2022")</f>
        <v/>
      </c>
      <c r="Y110">
        <f>HYPERLINK("https://klasma.github.io/Logging_2080/tillsynsmail/A 39135-2022.docx", "A 39135-2022")</f>
        <v/>
      </c>
    </row>
    <row r="111" ht="15" customHeight="1">
      <c r="A111" t="inlineStr">
        <is>
          <t>A 39278-2022</t>
        </is>
      </c>
      <c r="B111" s="1" t="n">
        <v>44817</v>
      </c>
      <c r="C111" s="1" t="n">
        <v>45210</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39278-2022.xlsx", "A 39278-2022")</f>
        <v/>
      </c>
      <c r="T111">
        <f>HYPERLINK("https://klasma.github.io/Logging_2039/kartor/A 39278-2022.png", "A 39278-2022")</f>
        <v/>
      </c>
      <c r="V111">
        <f>HYPERLINK("https://klasma.github.io/Logging_2039/klagomål/A 39278-2022.docx", "A 39278-2022")</f>
        <v/>
      </c>
      <c r="W111">
        <f>HYPERLINK("https://klasma.github.io/Logging_2039/klagomålsmail/A 39278-2022.docx", "A 39278-2022")</f>
        <v/>
      </c>
      <c r="X111">
        <f>HYPERLINK("https://klasma.github.io/Logging_2039/tillsyn/A 39278-2022.docx", "A 39278-2022")</f>
        <v/>
      </c>
      <c r="Y111">
        <f>HYPERLINK("https://klasma.github.io/Logging_2039/tillsynsmail/A 39278-2022.docx", "A 39278-2022")</f>
        <v/>
      </c>
    </row>
    <row r="112" ht="15" customHeight="1">
      <c r="A112" t="inlineStr">
        <is>
          <t>A 57347-2022</t>
        </is>
      </c>
      <c r="B112" s="1" t="n">
        <v>44896</v>
      </c>
      <c r="C112" s="1" t="n">
        <v>45210</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57347-2022.xlsx", "A 57347-2022")</f>
        <v/>
      </c>
      <c r="T112">
        <f>HYPERLINK("https://klasma.github.io/Logging_2026/kartor/A 57347-2022.png", "A 57347-2022")</f>
        <v/>
      </c>
      <c r="V112">
        <f>HYPERLINK("https://klasma.github.io/Logging_2026/klagomål/A 57347-2022.docx", "A 57347-2022")</f>
        <v/>
      </c>
      <c r="W112">
        <f>HYPERLINK("https://klasma.github.io/Logging_2026/klagomålsmail/A 57347-2022.docx", "A 57347-2022")</f>
        <v/>
      </c>
      <c r="X112">
        <f>HYPERLINK("https://klasma.github.io/Logging_2026/tillsyn/A 57347-2022.docx", "A 57347-2022")</f>
        <v/>
      </c>
      <c r="Y112">
        <f>HYPERLINK("https://klasma.github.io/Logging_2026/tillsynsmail/A 57347-2022.docx", "A 57347-2022")</f>
        <v/>
      </c>
    </row>
    <row r="113" ht="15" customHeight="1">
      <c r="A113" t="inlineStr">
        <is>
          <t>A 970-2023</t>
        </is>
      </c>
      <c r="B113" s="1" t="n">
        <v>44935</v>
      </c>
      <c r="C113" s="1" t="n">
        <v>45210</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970-2023.xlsx", "A 970-2023")</f>
        <v/>
      </c>
      <c r="T113">
        <f>HYPERLINK("https://klasma.github.io/Logging_2039/kartor/A 970-2023.png", "A 970-2023")</f>
        <v/>
      </c>
      <c r="V113">
        <f>HYPERLINK("https://klasma.github.io/Logging_2039/klagomål/A 970-2023.docx", "A 970-2023")</f>
        <v/>
      </c>
      <c r="W113">
        <f>HYPERLINK("https://klasma.github.io/Logging_2039/klagomålsmail/A 970-2023.docx", "A 970-2023")</f>
        <v/>
      </c>
      <c r="X113">
        <f>HYPERLINK("https://klasma.github.io/Logging_2039/tillsyn/A 970-2023.docx", "A 970-2023")</f>
        <v/>
      </c>
      <c r="Y113">
        <f>HYPERLINK("https://klasma.github.io/Logging_2039/tillsynsmail/A 970-2023.docx", "A 970-2023")</f>
        <v/>
      </c>
    </row>
    <row r="114" ht="15" customHeight="1">
      <c r="A114" t="inlineStr">
        <is>
          <t>A 11067-2023</t>
        </is>
      </c>
      <c r="B114" s="1" t="n">
        <v>44992</v>
      </c>
      <c r="C114" s="1" t="n">
        <v>45210</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11067-2023.xlsx", "A 11067-2023")</f>
        <v/>
      </c>
      <c r="T114">
        <f>HYPERLINK("https://klasma.github.io/Logging_2029/kartor/A 11067-2023.png", "A 11067-2023")</f>
        <v/>
      </c>
      <c r="V114">
        <f>HYPERLINK("https://klasma.github.io/Logging_2029/klagomål/A 11067-2023.docx", "A 11067-2023")</f>
        <v/>
      </c>
      <c r="W114">
        <f>HYPERLINK("https://klasma.github.io/Logging_2029/klagomålsmail/A 11067-2023.docx", "A 11067-2023")</f>
        <v/>
      </c>
      <c r="X114">
        <f>HYPERLINK("https://klasma.github.io/Logging_2029/tillsyn/A 11067-2023.docx", "A 11067-2023")</f>
        <v/>
      </c>
      <c r="Y114">
        <f>HYPERLINK("https://klasma.github.io/Logging_2029/tillsynsmail/A 11067-2023.docx", "A 11067-2023")</f>
        <v/>
      </c>
    </row>
    <row r="115" ht="15" customHeight="1">
      <c r="A115" t="inlineStr">
        <is>
          <t>A 20728-2023</t>
        </is>
      </c>
      <c r="B115" s="1" t="n">
        <v>45055</v>
      </c>
      <c r="C115" s="1" t="n">
        <v>45210</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20728-2023.xlsx", "A 20728-2023")</f>
        <v/>
      </c>
      <c r="T115">
        <f>HYPERLINK("https://klasma.github.io/Logging_2026/kartor/A 20728-2023.png", "A 20728-2023")</f>
        <v/>
      </c>
      <c r="U115">
        <f>HYPERLINK("https://klasma.github.io/Logging_2026/knärot/A 20728-2023.png", "A 20728-2023")</f>
        <v/>
      </c>
      <c r="V115">
        <f>HYPERLINK("https://klasma.github.io/Logging_2026/klagomål/A 20728-2023.docx", "A 20728-2023")</f>
        <v/>
      </c>
      <c r="W115">
        <f>HYPERLINK("https://klasma.github.io/Logging_2026/klagomålsmail/A 20728-2023.docx", "A 20728-2023")</f>
        <v/>
      </c>
      <c r="X115">
        <f>HYPERLINK("https://klasma.github.io/Logging_2026/tillsyn/A 20728-2023.docx", "A 20728-2023")</f>
        <v/>
      </c>
      <c r="Y115">
        <f>HYPERLINK("https://klasma.github.io/Logging_2026/tillsynsmail/A 20728-2023.docx", "A 20728-2023")</f>
        <v/>
      </c>
    </row>
    <row r="116" ht="15" customHeight="1">
      <c r="A116" t="inlineStr">
        <is>
          <t>A 70571-2018</t>
        </is>
      </c>
      <c r="B116" s="1" t="n">
        <v>43451</v>
      </c>
      <c r="C116" s="1" t="n">
        <v>45210</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70571-2018.xlsx", "A 70571-2018")</f>
        <v/>
      </c>
      <c r="T116">
        <f>HYPERLINK("https://klasma.github.io/Logging_2083/kartor/A 70571-2018.png", "A 70571-2018")</f>
        <v/>
      </c>
      <c r="V116">
        <f>HYPERLINK("https://klasma.github.io/Logging_2083/klagomål/A 70571-2018.docx", "A 70571-2018")</f>
        <v/>
      </c>
      <c r="W116">
        <f>HYPERLINK("https://klasma.github.io/Logging_2083/klagomålsmail/A 70571-2018.docx", "A 70571-2018")</f>
        <v/>
      </c>
      <c r="X116">
        <f>HYPERLINK("https://klasma.github.io/Logging_2083/tillsyn/A 70571-2018.docx", "A 70571-2018")</f>
        <v/>
      </c>
      <c r="Y116">
        <f>HYPERLINK("https://klasma.github.io/Logging_2083/tillsynsmail/A 70571-2018.docx", "A 70571-2018")</f>
        <v/>
      </c>
    </row>
    <row r="117" ht="15" customHeight="1">
      <c r="A117" t="inlineStr">
        <is>
          <t>A 3870-2019</t>
        </is>
      </c>
      <c r="B117" s="1" t="n">
        <v>43482</v>
      </c>
      <c r="C117" s="1" t="n">
        <v>45210</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3870-2019.xlsx", "A 3870-2019")</f>
        <v/>
      </c>
      <c r="T117">
        <f>HYPERLINK("https://klasma.github.io/Logging_2080/kartor/A 3870-2019.png", "A 3870-2019")</f>
        <v/>
      </c>
      <c r="V117">
        <f>HYPERLINK("https://klasma.github.io/Logging_2080/klagomål/A 3870-2019.docx", "A 3870-2019")</f>
        <v/>
      </c>
      <c r="W117">
        <f>HYPERLINK("https://klasma.github.io/Logging_2080/klagomålsmail/A 3870-2019.docx", "A 3870-2019")</f>
        <v/>
      </c>
      <c r="X117">
        <f>HYPERLINK("https://klasma.github.io/Logging_2080/tillsyn/A 3870-2019.docx", "A 3870-2019")</f>
        <v/>
      </c>
      <c r="Y117">
        <f>HYPERLINK("https://klasma.github.io/Logging_2080/tillsynsmail/A 3870-2019.docx", "A 3870-2019")</f>
        <v/>
      </c>
    </row>
    <row r="118" ht="15" customHeight="1">
      <c r="A118" t="inlineStr">
        <is>
          <t>A 7993-2019</t>
        </is>
      </c>
      <c r="B118" s="1" t="n">
        <v>43501</v>
      </c>
      <c r="C118" s="1" t="n">
        <v>45210</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7993-2019.xlsx", "A 7993-2019")</f>
        <v/>
      </c>
      <c r="T118">
        <f>HYPERLINK("https://klasma.github.io/Logging_2080/kartor/A 7993-2019.png", "A 7993-2019")</f>
        <v/>
      </c>
      <c r="V118">
        <f>HYPERLINK("https://klasma.github.io/Logging_2080/klagomål/A 7993-2019.docx", "A 7993-2019")</f>
        <v/>
      </c>
      <c r="W118">
        <f>HYPERLINK("https://klasma.github.io/Logging_2080/klagomålsmail/A 7993-2019.docx", "A 7993-2019")</f>
        <v/>
      </c>
      <c r="X118">
        <f>HYPERLINK("https://klasma.github.io/Logging_2080/tillsyn/A 7993-2019.docx", "A 7993-2019")</f>
        <v/>
      </c>
      <c r="Y118">
        <f>HYPERLINK("https://klasma.github.io/Logging_2080/tillsynsmail/A 7993-2019.docx", "A 7993-2019")</f>
        <v/>
      </c>
    </row>
    <row r="119" ht="15" customHeight="1">
      <c r="A119" t="inlineStr">
        <is>
          <t>A 22238-2019</t>
        </is>
      </c>
      <c r="B119" s="1" t="n">
        <v>43585</v>
      </c>
      <c r="C119" s="1" t="n">
        <v>45210</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22238-2019.xlsx", "A 22238-2019")</f>
        <v/>
      </c>
      <c r="T119">
        <f>HYPERLINK("https://klasma.github.io/Logging_2023/kartor/A 22238-2019.png", "A 22238-2019")</f>
        <v/>
      </c>
      <c r="V119">
        <f>HYPERLINK("https://klasma.github.io/Logging_2023/klagomål/A 22238-2019.docx", "A 22238-2019")</f>
        <v/>
      </c>
      <c r="W119">
        <f>HYPERLINK("https://klasma.github.io/Logging_2023/klagomålsmail/A 22238-2019.docx", "A 22238-2019")</f>
        <v/>
      </c>
      <c r="X119">
        <f>HYPERLINK("https://klasma.github.io/Logging_2023/tillsyn/A 22238-2019.docx", "A 22238-2019")</f>
        <v/>
      </c>
      <c r="Y119">
        <f>HYPERLINK("https://klasma.github.io/Logging_2023/tillsynsmail/A 22238-2019.docx", "A 22238-2019")</f>
        <v/>
      </c>
    </row>
    <row r="120" ht="15" customHeight="1">
      <c r="A120" t="inlineStr">
        <is>
          <t>A 31542-2019</t>
        </is>
      </c>
      <c r="B120" s="1" t="n">
        <v>43641</v>
      </c>
      <c r="C120" s="1" t="n">
        <v>45210</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31542-2019.xlsx", "A 31542-2019")</f>
        <v/>
      </c>
      <c r="T120">
        <f>HYPERLINK("https://klasma.github.io/Logging_2039/kartor/A 31542-2019.png", "A 31542-2019")</f>
        <v/>
      </c>
      <c r="V120">
        <f>HYPERLINK("https://klasma.github.io/Logging_2039/klagomål/A 31542-2019.docx", "A 31542-2019")</f>
        <v/>
      </c>
      <c r="W120">
        <f>HYPERLINK("https://klasma.github.io/Logging_2039/klagomålsmail/A 31542-2019.docx", "A 31542-2019")</f>
        <v/>
      </c>
      <c r="X120">
        <f>HYPERLINK("https://klasma.github.io/Logging_2039/tillsyn/A 31542-2019.docx", "A 31542-2019")</f>
        <v/>
      </c>
      <c r="Y120">
        <f>HYPERLINK("https://klasma.github.io/Logging_2039/tillsynsmail/A 31542-2019.docx", "A 31542-2019")</f>
        <v/>
      </c>
    </row>
    <row r="121" ht="15" customHeight="1">
      <c r="A121" t="inlineStr">
        <is>
          <t>A 40359-2019</t>
        </is>
      </c>
      <c r="B121" s="1" t="n">
        <v>43696</v>
      </c>
      <c r="C121" s="1" t="n">
        <v>45210</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40359-2019.xlsx", "A 40359-2019")</f>
        <v/>
      </c>
      <c r="T121">
        <f>HYPERLINK("https://klasma.github.io/Logging_2026/kartor/A 40359-2019.png", "A 40359-2019")</f>
        <v/>
      </c>
      <c r="V121">
        <f>HYPERLINK("https://klasma.github.io/Logging_2026/klagomål/A 40359-2019.docx", "A 40359-2019")</f>
        <v/>
      </c>
      <c r="W121">
        <f>HYPERLINK("https://klasma.github.io/Logging_2026/klagomålsmail/A 40359-2019.docx", "A 40359-2019")</f>
        <v/>
      </c>
      <c r="X121">
        <f>HYPERLINK("https://klasma.github.io/Logging_2026/tillsyn/A 40359-2019.docx", "A 40359-2019")</f>
        <v/>
      </c>
      <c r="Y121">
        <f>HYPERLINK("https://klasma.github.io/Logging_2026/tillsynsmail/A 40359-2019.docx", "A 40359-2019")</f>
        <v/>
      </c>
    </row>
    <row r="122" ht="15" customHeight="1">
      <c r="A122" t="inlineStr">
        <is>
          <t>A 41892-2019</t>
        </is>
      </c>
      <c r="B122" s="1" t="n">
        <v>43700</v>
      </c>
      <c r="C122" s="1" t="n">
        <v>45210</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41892-2019.xlsx", "A 41892-2019")</f>
        <v/>
      </c>
      <c r="T122">
        <f>HYPERLINK("https://klasma.github.io/Logging_2026/kartor/A 41892-2019.png", "A 41892-2019")</f>
        <v/>
      </c>
      <c r="V122">
        <f>HYPERLINK("https://klasma.github.io/Logging_2026/klagomål/A 41892-2019.docx", "A 41892-2019")</f>
        <v/>
      </c>
      <c r="W122">
        <f>HYPERLINK("https://klasma.github.io/Logging_2026/klagomålsmail/A 41892-2019.docx", "A 41892-2019")</f>
        <v/>
      </c>
      <c r="X122">
        <f>HYPERLINK("https://klasma.github.io/Logging_2026/tillsyn/A 41892-2019.docx", "A 41892-2019")</f>
        <v/>
      </c>
      <c r="Y122">
        <f>HYPERLINK("https://klasma.github.io/Logging_2026/tillsynsmail/A 41892-2019.docx", "A 41892-2019")</f>
        <v/>
      </c>
    </row>
    <row r="123" ht="15" customHeight="1">
      <c r="A123" t="inlineStr">
        <is>
          <t>A 64864-2019</t>
        </is>
      </c>
      <c r="B123" s="1" t="n">
        <v>43801</v>
      </c>
      <c r="C123" s="1" t="n">
        <v>45210</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64864-2019.xlsx", "A 64864-2019")</f>
        <v/>
      </c>
      <c r="T123">
        <f>HYPERLINK("https://klasma.github.io/Logging_2085/kartor/A 64864-2019.png", "A 64864-2019")</f>
        <v/>
      </c>
      <c r="V123">
        <f>HYPERLINK("https://klasma.github.io/Logging_2085/klagomål/A 64864-2019.docx", "A 64864-2019")</f>
        <v/>
      </c>
      <c r="W123">
        <f>HYPERLINK("https://klasma.github.io/Logging_2085/klagomålsmail/A 64864-2019.docx", "A 64864-2019")</f>
        <v/>
      </c>
      <c r="X123">
        <f>HYPERLINK("https://klasma.github.io/Logging_2085/tillsyn/A 64864-2019.docx", "A 64864-2019")</f>
        <v/>
      </c>
      <c r="Y123">
        <f>HYPERLINK("https://klasma.github.io/Logging_2085/tillsynsmail/A 64864-2019.docx", "A 64864-2019")</f>
        <v/>
      </c>
    </row>
    <row r="124" ht="15" customHeight="1">
      <c r="A124" t="inlineStr">
        <is>
          <t>A 4956-2020</t>
        </is>
      </c>
      <c r="B124" s="1" t="n">
        <v>43859</v>
      </c>
      <c r="C124" s="1" t="n">
        <v>45210</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4956-2020.xlsx", "A 4956-2020")</f>
        <v/>
      </c>
      <c r="T124">
        <f>HYPERLINK("https://klasma.github.io/Logging_2023/kartor/A 4956-2020.png", "A 4956-2020")</f>
        <v/>
      </c>
      <c r="V124">
        <f>HYPERLINK("https://klasma.github.io/Logging_2023/klagomål/A 4956-2020.docx", "A 4956-2020")</f>
        <v/>
      </c>
      <c r="W124">
        <f>HYPERLINK("https://klasma.github.io/Logging_2023/klagomålsmail/A 4956-2020.docx", "A 4956-2020")</f>
        <v/>
      </c>
      <c r="X124">
        <f>HYPERLINK("https://klasma.github.io/Logging_2023/tillsyn/A 4956-2020.docx", "A 4956-2020")</f>
        <v/>
      </c>
      <c r="Y124">
        <f>HYPERLINK("https://klasma.github.io/Logging_2023/tillsynsmail/A 4956-2020.docx", "A 4956-2020")</f>
        <v/>
      </c>
    </row>
    <row r="125" ht="15" customHeight="1">
      <c r="A125" t="inlineStr">
        <is>
          <t>A 39885-2020</t>
        </is>
      </c>
      <c r="B125" s="1" t="n">
        <v>44067</v>
      </c>
      <c r="C125" s="1" t="n">
        <v>45210</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39885-2020.xlsx", "A 39885-2020")</f>
        <v/>
      </c>
      <c r="T125">
        <f>HYPERLINK("https://klasma.github.io/Logging_2026/kartor/A 39885-2020.png", "A 39885-2020")</f>
        <v/>
      </c>
      <c r="V125">
        <f>HYPERLINK("https://klasma.github.io/Logging_2026/klagomål/A 39885-2020.docx", "A 39885-2020")</f>
        <v/>
      </c>
      <c r="W125">
        <f>HYPERLINK("https://klasma.github.io/Logging_2026/klagomålsmail/A 39885-2020.docx", "A 39885-2020")</f>
        <v/>
      </c>
      <c r="X125">
        <f>HYPERLINK("https://klasma.github.io/Logging_2026/tillsyn/A 39885-2020.docx", "A 39885-2020")</f>
        <v/>
      </c>
      <c r="Y125">
        <f>HYPERLINK("https://klasma.github.io/Logging_2026/tillsynsmail/A 39885-2020.docx", "A 39885-2020")</f>
        <v/>
      </c>
    </row>
    <row r="126" ht="15" customHeight="1">
      <c r="A126" t="inlineStr">
        <is>
          <t>A 49908-2020</t>
        </is>
      </c>
      <c r="B126" s="1" t="n">
        <v>44109</v>
      </c>
      <c r="C126" s="1" t="n">
        <v>45210</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49908-2020.xlsx", "A 49908-2020")</f>
        <v/>
      </c>
      <c r="T126">
        <f>HYPERLINK("https://klasma.github.io/Logging_2080/kartor/A 49908-2020.png", "A 49908-2020")</f>
        <v/>
      </c>
      <c r="U126">
        <f>HYPERLINK("https://klasma.github.io/Logging_2080/knärot/A 49908-2020.png", "A 49908-2020")</f>
        <v/>
      </c>
      <c r="V126">
        <f>HYPERLINK("https://klasma.github.io/Logging_2080/klagomål/A 49908-2020.docx", "A 49908-2020")</f>
        <v/>
      </c>
      <c r="W126">
        <f>HYPERLINK("https://klasma.github.io/Logging_2080/klagomålsmail/A 49908-2020.docx", "A 49908-2020")</f>
        <v/>
      </c>
      <c r="X126">
        <f>HYPERLINK("https://klasma.github.io/Logging_2080/tillsyn/A 49908-2020.docx", "A 49908-2020")</f>
        <v/>
      </c>
      <c r="Y126">
        <f>HYPERLINK("https://klasma.github.io/Logging_2080/tillsynsmail/A 49908-2020.docx", "A 49908-2020")</f>
        <v/>
      </c>
    </row>
    <row r="127" ht="15" customHeight="1">
      <c r="A127" t="inlineStr">
        <is>
          <t>A 52711-2020</t>
        </is>
      </c>
      <c r="B127" s="1" t="n">
        <v>44119</v>
      </c>
      <c r="C127" s="1" t="n">
        <v>45210</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52711-2020.xlsx", "A 52711-2020")</f>
        <v/>
      </c>
      <c r="T127">
        <f>HYPERLINK("https://klasma.github.io/Logging_2082/kartor/A 52711-2020.png", "A 52711-2020")</f>
        <v/>
      </c>
      <c r="V127">
        <f>HYPERLINK("https://klasma.github.io/Logging_2082/klagomål/A 52711-2020.docx", "A 52711-2020")</f>
        <v/>
      </c>
      <c r="W127">
        <f>HYPERLINK("https://klasma.github.io/Logging_2082/klagomålsmail/A 52711-2020.docx", "A 52711-2020")</f>
        <v/>
      </c>
      <c r="X127">
        <f>HYPERLINK("https://klasma.github.io/Logging_2082/tillsyn/A 52711-2020.docx", "A 52711-2020")</f>
        <v/>
      </c>
      <c r="Y127">
        <f>HYPERLINK("https://klasma.github.io/Logging_2082/tillsynsmail/A 52711-2020.docx", "A 52711-2020")</f>
        <v/>
      </c>
    </row>
    <row r="128" ht="15" customHeight="1">
      <c r="A128" t="inlineStr">
        <is>
          <t>A 63734-2020</t>
        </is>
      </c>
      <c r="B128" s="1" t="n">
        <v>44166</v>
      </c>
      <c r="C128" s="1" t="n">
        <v>45210</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63734-2020.xlsx", "A 63734-2020")</f>
        <v/>
      </c>
      <c r="T128">
        <f>HYPERLINK("https://klasma.github.io/Logging_2023/kartor/A 63734-2020.png", "A 63734-2020")</f>
        <v/>
      </c>
      <c r="V128">
        <f>HYPERLINK("https://klasma.github.io/Logging_2023/klagomål/A 63734-2020.docx", "A 63734-2020")</f>
        <v/>
      </c>
      <c r="W128">
        <f>HYPERLINK("https://klasma.github.io/Logging_2023/klagomålsmail/A 63734-2020.docx", "A 63734-2020")</f>
        <v/>
      </c>
      <c r="X128">
        <f>HYPERLINK("https://klasma.github.io/Logging_2023/tillsyn/A 63734-2020.docx", "A 63734-2020")</f>
        <v/>
      </c>
      <c r="Y128">
        <f>HYPERLINK("https://klasma.github.io/Logging_2023/tillsynsmail/A 63734-2020.docx", "A 63734-2020")</f>
        <v/>
      </c>
    </row>
    <row r="129" ht="15" customHeight="1">
      <c r="A129" t="inlineStr">
        <is>
          <t>A 7015-2021</t>
        </is>
      </c>
      <c r="B129" s="1" t="n">
        <v>44237</v>
      </c>
      <c r="C129" s="1" t="n">
        <v>45210</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7015-2021.xlsx", "A 7015-2021")</f>
        <v/>
      </c>
      <c r="T129">
        <f>HYPERLINK("https://klasma.github.io/Logging_2031/kartor/A 7015-2021.png", "A 7015-2021")</f>
        <v/>
      </c>
      <c r="U129">
        <f>HYPERLINK("https://klasma.github.io/Logging_2031/knärot/A 7015-2021.png", "A 7015-2021")</f>
        <v/>
      </c>
      <c r="V129">
        <f>HYPERLINK("https://klasma.github.io/Logging_2031/klagomål/A 7015-2021.docx", "A 7015-2021")</f>
        <v/>
      </c>
      <c r="W129">
        <f>HYPERLINK("https://klasma.github.io/Logging_2031/klagomålsmail/A 7015-2021.docx", "A 7015-2021")</f>
        <v/>
      </c>
      <c r="X129">
        <f>HYPERLINK("https://klasma.github.io/Logging_2031/tillsyn/A 7015-2021.docx", "A 7015-2021")</f>
        <v/>
      </c>
      <c r="Y129">
        <f>HYPERLINK("https://klasma.github.io/Logging_2031/tillsynsmail/A 7015-2021.docx", "A 7015-2021")</f>
        <v/>
      </c>
    </row>
    <row r="130" ht="15" customHeight="1">
      <c r="A130" t="inlineStr">
        <is>
          <t>A 31534-2021</t>
        </is>
      </c>
      <c r="B130" s="1" t="n">
        <v>44369</v>
      </c>
      <c r="C130" s="1" t="n">
        <v>45210</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31534-2021.xlsx", "A 31534-2021")</f>
        <v/>
      </c>
      <c r="T130">
        <f>HYPERLINK("https://klasma.github.io/Logging_2083/kartor/A 31534-2021.png", "A 31534-2021")</f>
        <v/>
      </c>
      <c r="V130">
        <f>HYPERLINK("https://klasma.github.io/Logging_2083/klagomål/A 31534-2021.docx", "A 31534-2021")</f>
        <v/>
      </c>
      <c r="W130">
        <f>HYPERLINK("https://klasma.github.io/Logging_2083/klagomålsmail/A 31534-2021.docx", "A 31534-2021")</f>
        <v/>
      </c>
      <c r="X130">
        <f>HYPERLINK("https://klasma.github.io/Logging_2083/tillsyn/A 31534-2021.docx", "A 31534-2021")</f>
        <v/>
      </c>
      <c r="Y130">
        <f>HYPERLINK("https://klasma.github.io/Logging_2083/tillsynsmail/A 31534-2021.docx", "A 31534-2021")</f>
        <v/>
      </c>
    </row>
    <row r="131" ht="15" customHeight="1">
      <c r="A131" t="inlineStr">
        <is>
          <t>A 35854-2021</t>
        </is>
      </c>
      <c r="B131" s="1" t="n">
        <v>44386</v>
      </c>
      <c r="C131" s="1" t="n">
        <v>45210</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35854-2021.xlsx", "A 35854-2021")</f>
        <v/>
      </c>
      <c r="T131">
        <f>HYPERLINK("https://klasma.github.io/Logging_2084/kartor/A 35854-2021.png", "A 35854-2021")</f>
        <v/>
      </c>
      <c r="V131">
        <f>HYPERLINK("https://klasma.github.io/Logging_2084/klagomål/A 35854-2021.docx", "A 35854-2021")</f>
        <v/>
      </c>
      <c r="W131">
        <f>HYPERLINK("https://klasma.github.io/Logging_2084/klagomålsmail/A 35854-2021.docx", "A 35854-2021")</f>
        <v/>
      </c>
      <c r="X131">
        <f>HYPERLINK("https://klasma.github.io/Logging_2084/tillsyn/A 35854-2021.docx", "A 35854-2021")</f>
        <v/>
      </c>
      <c r="Y131">
        <f>HYPERLINK("https://klasma.github.io/Logging_2084/tillsynsmail/A 35854-2021.docx", "A 35854-2021")</f>
        <v/>
      </c>
    </row>
    <row r="132" ht="15" customHeight="1">
      <c r="A132" t="inlineStr">
        <is>
          <t>A 45872-2021</t>
        </is>
      </c>
      <c r="B132" s="1" t="n">
        <v>44441</v>
      </c>
      <c r="C132" s="1" t="n">
        <v>45210</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45872-2021.xlsx", "A 45872-2021")</f>
        <v/>
      </c>
      <c r="T132">
        <f>HYPERLINK("https://klasma.github.io/Logging_2083/kartor/A 45872-2021.png", "A 45872-2021")</f>
        <v/>
      </c>
      <c r="V132">
        <f>HYPERLINK("https://klasma.github.io/Logging_2083/klagomål/A 45872-2021.docx", "A 45872-2021")</f>
        <v/>
      </c>
      <c r="W132">
        <f>HYPERLINK("https://klasma.github.io/Logging_2083/klagomålsmail/A 45872-2021.docx", "A 45872-2021")</f>
        <v/>
      </c>
      <c r="X132">
        <f>HYPERLINK("https://klasma.github.io/Logging_2083/tillsyn/A 45872-2021.docx", "A 45872-2021")</f>
        <v/>
      </c>
      <c r="Y132">
        <f>HYPERLINK("https://klasma.github.io/Logging_2083/tillsynsmail/A 45872-2021.docx", "A 45872-2021")</f>
        <v/>
      </c>
    </row>
    <row r="133" ht="15" customHeight="1">
      <c r="A133" t="inlineStr">
        <is>
          <t>A 48884-2021</t>
        </is>
      </c>
      <c r="B133" s="1" t="n">
        <v>44452</v>
      </c>
      <c r="C133" s="1" t="n">
        <v>45210</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48884-2021.xlsx", "A 48884-2021")</f>
        <v/>
      </c>
      <c r="T133">
        <f>HYPERLINK("https://klasma.github.io/Logging_2039/kartor/A 48884-2021.png", "A 48884-2021")</f>
        <v/>
      </c>
      <c r="V133">
        <f>HYPERLINK("https://klasma.github.io/Logging_2039/klagomål/A 48884-2021.docx", "A 48884-2021")</f>
        <v/>
      </c>
      <c r="W133">
        <f>HYPERLINK("https://klasma.github.io/Logging_2039/klagomålsmail/A 48884-2021.docx", "A 48884-2021")</f>
        <v/>
      </c>
      <c r="X133">
        <f>HYPERLINK("https://klasma.github.io/Logging_2039/tillsyn/A 48884-2021.docx", "A 48884-2021")</f>
        <v/>
      </c>
      <c r="Y133">
        <f>HYPERLINK("https://klasma.github.io/Logging_2039/tillsynsmail/A 48884-2021.docx", "A 48884-2021")</f>
        <v/>
      </c>
    </row>
    <row r="134" ht="15" customHeight="1">
      <c r="A134" t="inlineStr">
        <is>
          <t>A 60557-2021</t>
        </is>
      </c>
      <c r="B134" s="1" t="n">
        <v>44495</v>
      </c>
      <c r="C134" s="1" t="n">
        <v>45210</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60557-2021.xlsx", "A 60557-2021")</f>
        <v/>
      </c>
      <c r="T134">
        <f>HYPERLINK("https://klasma.github.io/Logging_2083/kartor/A 60557-2021.png", "A 60557-2021")</f>
        <v/>
      </c>
      <c r="U134">
        <f>HYPERLINK("https://klasma.github.io/Logging_2083/knärot/A 60557-2021.png", "A 60557-2021")</f>
        <v/>
      </c>
      <c r="V134">
        <f>HYPERLINK("https://klasma.github.io/Logging_2083/klagomål/A 60557-2021.docx", "A 60557-2021")</f>
        <v/>
      </c>
      <c r="W134">
        <f>HYPERLINK("https://klasma.github.io/Logging_2083/klagomålsmail/A 60557-2021.docx", "A 60557-2021")</f>
        <v/>
      </c>
      <c r="X134">
        <f>HYPERLINK("https://klasma.github.io/Logging_2083/tillsyn/A 60557-2021.docx", "A 60557-2021")</f>
        <v/>
      </c>
      <c r="Y134">
        <f>HYPERLINK("https://klasma.github.io/Logging_2083/tillsynsmail/A 60557-2021.docx", "A 60557-2021")</f>
        <v/>
      </c>
    </row>
    <row r="135" ht="15" customHeight="1">
      <c r="A135" t="inlineStr">
        <is>
          <t>A 7244-2022</t>
        </is>
      </c>
      <c r="B135" s="1" t="n">
        <v>44606</v>
      </c>
      <c r="C135" s="1" t="n">
        <v>45210</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7244-2022.xlsx", "A 7244-2022")</f>
        <v/>
      </c>
      <c r="T135">
        <f>HYPERLINK("https://klasma.github.io/Logging_2080/kartor/A 7244-2022.png", "A 7244-2022")</f>
        <v/>
      </c>
      <c r="V135">
        <f>HYPERLINK("https://klasma.github.io/Logging_2080/klagomål/A 7244-2022.docx", "A 7244-2022")</f>
        <v/>
      </c>
      <c r="W135">
        <f>HYPERLINK("https://klasma.github.io/Logging_2080/klagomålsmail/A 7244-2022.docx", "A 7244-2022")</f>
        <v/>
      </c>
      <c r="X135">
        <f>HYPERLINK("https://klasma.github.io/Logging_2080/tillsyn/A 7244-2022.docx", "A 7244-2022")</f>
        <v/>
      </c>
      <c r="Y135">
        <f>HYPERLINK("https://klasma.github.io/Logging_2080/tillsynsmail/A 7244-2022.docx", "A 7244-2022")</f>
        <v/>
      </c>
    </row>
    <row r="136" ht="15" customHeight="1">
      <c r="A136" t="inlineStr">
        <is>
          <t>A 25699-2022</t>
        </is>
      </c>
      <c r="B136" s="1" t="n">
        <v>44732</v>
      </c>
      <c r="C136" s="1" t="n">
        <v>45210</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25699-2022.xlsx", "A 25699-2022")</f>
        <v/>
      </c>
      <c r="T136">
        <f>HYPERLINK("https://klasma.github.io/Logging_2082/kartor/A 25699-2022.png", "A 25699-2022")</f>
        <v/>
      </c>
      <c r="V136">
        <f>HYPERLINK("https://klasma.github.io/Logging_2082/klagomål/A 25699-2022.docx", "A 25699-2022")</f>
        <v/>
      </c>
      <c r="W136">
        <f>HYPERLINK("https://klasma.github.io/Logging_2082/klagomålsmail/A 25699-2022.docx", "A 25699-2022")</f>
        <v/>
      </c>
      <c r="X136">
        <f>HYPERLINK("https://klasma.github.io/Logging_2082/tillsyn/A 25699-2022.docx", "A 25699-2022")</f>
        <v/>
      </c>
      <c r="Y136">
        <f>HYPERLINK("https://klasma.github.io/Logging_2082/tillsynsmail/A 25699-2022.docx", "A 25699-2022")</f>
        <v/>
      </c>
    </row>
    <row r="137" ht="15" customHeight="1">
      <c r="A137" t="inlineStr">
        <is>
          <t>A 59850-2022</t>
        </is>
      </c>
      <c r="B137" s="1" t="n">
        <v>44901</v>
      </c>
      <c r="C137" s="1" t="n">
        <v>45210</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59850-2022.xlsx", "A 59850-2022")</f>
        <v/>
      </c>
      <c r="T137">
        <f>HYPERLINK("https://klasma.github.io/Logging_2029/kartor/A 59850-2022.png", "A 59850-2022")</f>
        <v/>
      </c>
      <c r="V137">
        <f>HYPERLINK("https://klasma.github.io/Logging_2029/klagomål/A 59850-2022.docx", "A 59850-2022")</f>
        <v/>
      </c>
      <c r="W137">
        <f>HYPERLINK("https://klasma.github.io/Logging_2029/klagomålsmail/A 59850-2022.docx", "A 59850-2022")</f>
        <v/>
      </c>
      <c r="X137">
        <f>HYPERLINK("https://klasma.github.io/Logging_2029/tillsyn/A 59850-2022.docx", "A 59850-2022")</f>
        <v/>
      </c>
      <c r="Y137">
        <f>HYPERLINK("https://klasma.github.io/Logging_2029/tillsynsmail/A 59850-2022.docx", "A 59850-2022")</f>
        <v/>
      </c>
    </row>
    <row r="138" ht="15" customHeight="1">
      <c r="A138" t="inlineStr">
        <is>
          <t>A 2511-2023</t>
        </is>
      </c>
      <c r="B138" s="1" t="n">
        <v>44943</v>
      </c>
      <c r="C138" s="1" t="n">
        <v>45210</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2511-2023.xlsx", "A 2511-2023")</f>
        <v/>
      </c>
      <c r="T138">
        <f>HYPERLINK("https://klasma.github.io/Logging_2039/kartor/A 2511-2023.png", "A 2511-2023")</f>
        <v/>
      </c>
      <c r="V138">
        <f>HYPERLINK("https://klasma.github.io/Logging_2039/klagomål/A 2511-2023.docx", "A 2511-2023")</f>
        <v/>
      </c>
      <c r="W138">
        <f>HYPERLINK("https://klasma.github.io/Logging_2039/klagomålsmail/A 2511-2023.docx", "A 2511-2023")</f>
        <v/>
      </c>
      <c r="X138">
        <f>HYPERLINK("https://klasma.github.io/Logging_2039/tillsyn/A 2511-2023.docx", "A 2511-2023")</f>
        <v/>
      </c>
      <c r="Y138">
        <f>HYPERLINK("https://klasma.github.io/Logging_2039/tillsynsmail/A 2511-2023.docx", "A 2511-2023")</f>
        <v/>
      </c>
    </row>
    <row r="139" ht="15" customHeight="1">
      <c r="A139" t="inlineStr">
        <is>
          <t>A 22181-2023</t>
        </is>
      </c>
      <c r="B139" s="1" t="n">
        <v>45069</v>
      </c>
      <c r="C139" s="1" t="n">
        <v>45210</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22181-2023.xlsx", "A 22181-2023")</f>
        <v/>
      </c>
      <c r="T139">
        <f>HYPERLINK("https://klasma.github.io/Logging_2081/kartor/A 22181-2023.png", "A 22181-2023")</f>
        <v/>
      </c>
      <c r="U139">
        <f>HYPERLINK("https://klasma.github.io/Logging_2081/knärot/A 22181-2023.png", "A 22181-2023")</f>
        <v/>
      </c>
      <c r="V139">
        <f>HYPERLINK("https://klasma.github.io/Logging_2081/klagomål/A 22181-2023.docx", "A 22181-2023")</f>
        <v/>
      </c>
      <c r="W139">
        <f>HYPERLINK("https://klasma.github.io/Logging_2081/klagomålsmail/A 22181-2023.docx", "A 22181-2023")</f>
        <v/>
      </c>
      <c r="X139">
        <f>HYPERLINK("https://klasma.github.io/Logging_2081/tillsyn/A 22181-2023.docx", "A 22181-2023")</f>
        <v/>
      </c>
      <c r="Y139">
        <f>HYPERLINK("https://klasma.github.io/Logging_2081/tillsynsmail/A 22181-2023.docx", "A 22181-2023")</f>
        <v/>
      </c>
    </row>
    <row r="140" ht="15" customHeight="1">
      <c r="A140" t="inlineStr">
        <is>
          <t>A 23464-2023</t>
        </is>
      </c>
      <c r="B140" s="1" t="n">
        <v>45076</v>
      </c>
      <c r="C140" s="1" t="n">
        <v>45210</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23464-2023.xlsx", "A 23464-2023")</f>
        <v/>
      </c>
      <c r="T140">
        <f>HYPERLINK("https://klasma.github.io/Logging_2082/kartor/A 23464-2023.png", "A 23464-2023")</f>
        <v/>
      </c>
      <c r="V140">
        <f>HYPERLINK("https://klasma.github.io/Logging_2082/klagomål/A 23464-2023.docx", "A 23464-2023")</f>
        <v/>
      </c>
      <c r="W140">
        <f>HYPERLINK("https://klasma.github.io/Logging_2082/klagomålsmail/A 23464-2023.docx", "A 23464-2023")</f>
        <v/>
      </c>
      <c r="X140">
        <f>HYPERLINK("https://klasma.github.io/Logging_2082/tillsyn/A 23464-2023.docx", "A 23464-2023")</f>
        <v/>
      </c>
      <c r="Y140">
        <f>HYPERLINK("https://klasma.github.io/Logging_2082/tillsynsmail/A 23464-2023.docx", "A 23464-2023")</f>
        <v/>
      </c>
    </row>
    <row r="141" ht="15" customHeight="1">
      <c r="A141" t="inlineStr">
        <is>
          <t>A 24739-2023</t>
        </is>
      </c>
      <c r="B141" s="1" t="n">
        <v>45084</v>
      </c>
      <c r="C141" s="1" t="n">
        <v>45210</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24739-2023.xlsx", "A 24739-2023")</f>
        <v/>
      </c>
      <c r="T141">
        <f>HYPERLINK("https://klasma.github.io/Logging_2085/kartor/A 24739-2023.png", "A 24739-2023")</f>
        <v/>
      </c>
      <c r="V141">
        <f>HYPERLINK("https://klasma.github.io/Logging_2085/klagomål/A 24739-2023.docx", "A 24739-2023")</f>
        <v/>
      </c>
      <c r="W141">
        <f>HYPERLINK("https://klasma.github.io/Logging_2085/klagomålsmail/A 24739-2023.docx", "A 24739-2023")</f>
        <v/>
      </c>
      <c r="X141">
        <f>HYPERLINK("https://klasma.github.io/Logging_2085/tillsyn/A 24739-2023.docx", "A 24739-2023")</f>
        <v/>
      </c>
      <c r="Y141">
        <f>HYPERLINK("https://klasma.github.io/Logging_2085/tillsynsmail/A 24739-2023.docx", "A 24739-2023")</f>
        <v/>
      </c>
    </row>
    <row r="142" ht="15" customHeight="1">
      <c r="A142" t="inlineStr">
        <is>
          <t>A 28070-2023</t>
        </is>
      </c>
      <c r="B142" s="1" t="n">
        <v>45099</v>
      </c>
      <c r="C142" s="1" t="n">
        <v>45210</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28070-2023.xlsx", "A 28070-2023")</f>
        <v/>
      </c>
      <c r="T142">
        <f>HYPERLINK("https://klasma.github.io/Logging_2023/kartor/A 28070-2023.png", "A 28070-2023")</f>
        <v/>
      </c>
      <c r="V142">
        <f>HYPERLINK("https://klasma.github.io/Logging_2023/klagomål/A 28070-2023.docx", "A 28070-2023")</f>
        <v/>
      </c>
      <c r="W142">
        <f>HYPERLINK("https://klasma.github.io/Logging_2023/klagomålsmail/A 28070-2023.docx", "A 28070-2023")</f>
        <v/>
      </c>
      <c r="X142">
        <f>HYPERLINK("https://klasma.github.io/Logging_2023/tillsyn/A 28070-2023.docx", "A 28070-2023")</f>
        <v/>
      </c>
      <c r="Y142">
        <f>HYPERLINK("https://klasma.github.io/Logging_2023/tillsynsmail/A 28070-2023.docx", "A 28070-2023")</f>
        <v/>
      </c>
    </row>
    <row r="143" ht="15" customHeight="1">
      <c r="A143" t="inlineStr">
        <is>
          <t>A 29234-2023</t>
        </is>
      </c>
      <c r="B143" s="1" t="n">
        <v>45105</v>
      </c>
      <c r="C143" s="1" t="n">
        <v>45210</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29234-2023.xlsx", "A 29234-2023")</f>
        <v/>
      </c>
      <c r="T143">
        <f>HYPERLINK("https://klasma.github.io/Logging_2039/kartor/A 29234-2023.png", "A 29234-2023")</f>
        <v/>
      </c>
      <c r="V143">
        <f>HYPERLINK("https://klasma.github.io/Logging_2039/klagomål/A 29234-2023.docx", "A 29234-2023")</f>
        <v/>
      </c>
      <c r="W143">
        <f>HYPERLINK("https://klasma.github.io/Logging_2039/klagomålsmail/A 29234-2023.docx", "A 29234-2023")</f>
        <v/>
      </c>
      <c r="X143">
        <f>HYPERLINK("https://klasma.github.io/Logging_2039/tillsyn/A 29234-2023.docx", "A 29234-2023")</f>
        <v/>
      </c>
      <c r="Y143">
        <f>HYPERLINK("https://klasma.github.io/Logging_2039/tillsynsmail/A 29234-2023.docx", "A 29234-2023")</f>
        <v/>
      </c>
    </row>
    <row r="144" ht="15" customHeight="1">
      <c r="A144" t="inlineStr">
        <is>
          <t>A 31622-2023</t>
        </is>
      </c>
      <c r="B144" s="1" t="n">
        <v>45117</v>
      </c>
      <c r="C144" s="1" t="n">
        <v>45210</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31622-2023.xlsx", "A 31622-2023")</f>
        <v/>
      </c>
      <c r="T144">
        <f>HYPERLINK("https://klasma.github.io/Logging_2080/kartor/A 31622-2023.png", "A 31622-2023")</f>
        <v/>
      </c>
      <c r="U144">
        <f>HYPERLINK("https://klasma.github.io/Logging_2080/knärot/A 31622-2023.png", "A 31622-2023")</f>
        <v/>
      </c>
      <c r="V144">
        <f>HYPERLINK("https://klasma.github.io/Logging_2080/klagomål/A 31622-2023.docx", "A 31622-2023")</f>
        <v/>
      </c>
      <c r="W144">
        <f>HYPERLINK("https://klasma.github.io/Logging_2080/klagomålsmail/A 31622-2023.docx", "A 31622-2023")</f>
        <v/>
      </c>
      <c r="X144">
        <f>HYPERLINK("https://klasma.github.io/Logging_2080/tillsyn/A 31622-2023.docx", "A 31622-2023")</f>
        <v/>
      </c>
      <c r="Y144">
        <f>HYPERLINK("https://klasma.github.io/Logging_2080/tillsynsmail/A 31622-2023.docx", "A 31622-2023")</f>
        <v/>
      </c>
    </row>
    <row r="145" ht="15" customHeight="1">
      <c r="A145" t="inlineStr">
        <is>
          <t>A 32101-2023</t>
        </is>
      </c>
      <c r="B145" s="1" t="n">
        <v>45119</v>
      </c>
      <c r="C145" s="1" t="n">
        <v>45210</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32101-2023.xlsx", "A 32101-2023")</f>
        <v/>
      </c>
      <c r="T145">
        <f>HYPERLINK("https://klasma.github.io/Logging_2039/kartor/A 32101-2023.png", "A 32101-2023")</f>
        <v/>
      </c>
      <c r="V145">
        <f>HYPERLINK("https://klasma.github.io/Logging_2039/klagomål/A 32101-2023.docx", "A 32101-2023")</f>
        <v/>
      </c>
      <c r="W145">
        <f>HYPERLINK("https://klasma.github.io/Logging_2039/klagomålsmail/A 32101-2023.docx", "A 32101-2023")</f>
        <v/>
      </c>
      <c r="X145">
        <f>HYPERLINK("https://klasma.github.io/Logging_2039/tillsyn/A 32101-2023.docx", "A 32101-2023")</f>
        <v/>
      </c>
      <c r="Y145">
        <f>HYPERLINK("https://klasma.github.io/Logging_2039/tillsynsmail/A 32101-2023.docx", "A 32101-2023")</f>
        <v/>
      </c>
    </row>
    <row r="146" ht="15" customHeight="1">
      <c r="A146" t="inlineStr">
        <is>
          <t>A 48521-2023</t>
        </is>
      </c>
      <c r="B146" s="1" t="n">
        <v>45208</v>
      </c>
      <c r="C146" s="1" t="n">
        <v>45210</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48521-2023.xlsx", "A 48521-2023")</f>
        <v/>
      </c>
      <c r="T146">
        <f>HYPERLINK("https://klasma.github.io/Logging_2039/kartor/A 48521-2023.png", "A 48521-2023")</f>
        <v/>
      </c>
      <c r="V146">
        <f>HYPERLINK("https://klasma.github.io/Logging_2039/klagomål/A 48521-2023.docx", "A 48521-2023")</f>
        <v/>
      </c>
      <c r="W146">
        <f>HYPERLINK("https://klasma.github.io/Logging_2039/klagomålsmail/A 48521-2023.docx", "A 48521-2023")</f>
        <v/>
      </c>
      <c r="X146">
        <f>HYPERLINK("https://klasma.github.io/Logging_2039/tillsyn/A 48521-2023.docx", "A 48521-2023")</f>
        <v/>
      </c>
      <c r="Y146">
        <f>HYPERLINK("https://klasma.github.io/Logging_2039/tillsynsmail/A 48521-2023.docx", "A 48521-2023")</f>
        <v/>
      </c>
    </row>
    <row r="147" ht="15" customHeight="1">
      <c r="A147" t="inlineStr">
        <is>
          <t>A 1031-2019</t>
        </is>
      </c>
      <c r="B147" s="1" t="n">
        <v>43472</v>
      </c>
      <c r="C147" s="1" t="n">
        <v>45210</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1031-2019.xlsx", "A 1031-2019")</f>
        <v/>
      </c>
      <c r="T147">
        <f>HYPERLINK("https://klasma.github.io/Logging_2023/kartor/A 1031-2019.png", "A 1031-2019")</f>
        <v/>
      </c>
      <c r="V147">
        <f>HYPERLINK("https://klasma.github.io/Logging_2023/klagomål/A 1031-2019.docx", "A 1031-2019")</f>
        <v/>
      </c>
      <c r="W147">
        <f>HYPERLINK("https://klasma.github.io/Logging_2023/klagomålsmail/A 1031-2019.docx", "A 1031-2019")</f>
        <v/>
      </c>
      <c r="X147">
        <f>HYPERLINK("https://klasma.github.io/Logging_2023/tillsyn/A 1031-2019.docx", "A 1031-2019")</f>
        <v/>
      </c>
      <c r="Y147">
        <f>HYPERLINK("https://klasma.github.io/Logging_2023/tillsynsmail/A 1031-2019.docx", "A 1031-2019")</f>
        <v/>
      </c>
    </row>
    <row r="148" ht="15" customHeight="1">
      <c r="A148" t="inlineStr">
        <is>
          <t>A 8393-2019</t>
        </is>
      </c>
      <c r="B148" s="1" t="n">
        <v>43502</v>
      </c>
      <c r="C148" s="1" t="n">
        <v>45210</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8393-2019.xlsx", "A 8393-2019")</f>
        <v/>
      </c>
      <c r="T148">
        <f>HYPERLINK("https://klasma.github.io/Logging_2023/kartor/A 8393-2019.png", "A 8393-2019")</f>
        <v/>
      </c>
      <c r="V148">
        <f>HYPERLINK("https://klasma.github.io/Logging_2023/klagomål/A 8393-2019.docx", "A 8393-2019")</f>
        <v/>
      </c>
      <c r="W148">
        <f>HYPERLINK("https://klasma.github.io/Logging_2023/klagomålsmail/A 8393-2019.docx", "A 8393-2019")</f>
        <v/>
      </c>
      <c r="X148">
        <f>HYPERLINK("https://klasma.github.io/Logging_2023/tillsyn/A 8393-2019.docx", "A 8393-2019")</f>
        <v/>
      </c>
      <c r="Y148">
        <f>HYPERLINK("https://klasma.github.io/Logging_2023/tillsynsmail/A 8393-2019.docx", "A 8393-2019")</f>
        <v/>
      </c>
    </row>
    <row r="149" ht="15" customHeight="1">
      <c r="A149" t="inlineStr">
        <is>
          <t>A 8394-2019</t>
        </is>
      </c>
      <c r="B149" s="1" t="n">
        <v>43502</v>
      </c>
      <c r="C149" s="1" t="n">
        <v>45210</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8394-2019.xlsx", "A 8394-2019")</f>
        <v/>
      </c>
      <c r="T149">
        <f>HYPERLINK("https://klasma.github.io/Logging_2023/kartor/A 8394-2019.png", "A 8394-2019")</f>
        <v/>
      </c>
      <c r="V149">
        <f>HYPERLINK("https://klasma.github.io/Logging_2023/klagomål/A 8394-2019.docx", "A 8394-2019")</f>
        <v/>
      </c>
      <c r="W149">
        <f>HYPERLINK("https://klasma.github.io/Logging_2023/klagomålsmail/A 8394-2019.docx", "A 8394-2019")</f>
        <v/>
      </c>
      <c r="X149">
        <f>HYPERLINK("https://klasma.github.io/Logging_2023/tillsyn/A 8394-2019.docx", "A 8394-2019")</f>
        <v/>
      </c>
      <c r="Y149">
        <f>HYPERLINK("https://klasma.github.io/Logging_2023/tillsynsmail/A 8394-2019.docx", "A 8394-2019")</f>
        <v/>
      </c>
    </row>
    <row r="150" ht="15" customHeight="1">
      <c r="A150" t="inlineStr">
        <is>
          <t>A 14376-2019</t>
        </is>
      </c>
      <c r="B150" s="1" t="n">
        <v>43536</v>
      </c>
      <c r="C150" s="1" t="n">
        <v>45210</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14376-2019.xlsx", "A 14376-2019")</f>
        <v/>
      </c>
      <c r="T150">
        <f>HYPERLINK("https://klasma.github.io/Logging_2083/kartor/A 14376-2019.png", "A 14376-2019")</f>
        <v/>
      </c>
      <c r="V150">
        <f>HYPERLINK("https://klasma.github.io/Logging_2083/klagomål/A 14376-2019.docx", "A 14376-2019")</f>
        <v/>
      </c>
      <c r="W150">
        <f>HYPERLINK("https://klasma.github.io/Logging_2083/klagomålsmail/A 14376-2019.docx", "A 14376-2019")</f>
        <v/>
      </c>
      <c r="X150">
        <f>HYPERLINK("https://klasma.github.io/Logging_2083/tillsyn/A 14376-2019.docx", "A 14376-2019")</f>
        <v/>
      </c>
      <c r="Y150">
        <f>HYPERLINK("https://klasma.github.io/Logging_2083/tillsynsmail/A 14376-2019.docx", "A 14376-2019")</f>
        <v/>
      </c>
    </row>
    <row r="151" ht="15" customHeight="1">
      <c r="A151" t="inlineStr">
        <is>
          <t>A 46264-2019</t>
        </is>
      </c>
      <c r="B151" s="1" t="n">
        <v>43713</v>
      </c>
      <c r="C151" s="1" t="n">
        <v>45210</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46264-2019.xlsx", "A 46264-2019")</f>
        <v/>
      </c>
      <c r="T151">
        <f>HYPERLINK("https://klasma.github.io/Logging_2039/kartor/A 46264-2019.png", "A 46264-2019")</f>
        <v/>
      </c>
      <c r="V151">
        <f>HYPERLINK("https://klasma.github.io/Logging_2039/klagomål/A 46264-2019.docx", "A 46264-2019")</f>
        <v/>
      </c>
      <c r="W151">
        <f>HYPERLINK("https://klasma.github.io/Logging_2039/klagomålsmail/A 46264-2019.docx", "A 46264-2019")</f>
        <v/>
      </c>
      <c r="X151">
        <f>HYPERLINK("https://klasma.github.io/Logging_2039/tillsyn/A 46264-2019.docx", "A 46264-2019")</f>
        <v/>
      </c>
      <c r="Y151">
        <f>HYPERLINK("https://klasma.github.io/Logging_2039/tillsynsmail/A 46264-2019.docx", "A 46264-2019")</f>
        <v/>
      </c>
    </row>
    <row r="152" ht="15" customHeight="1">
      <c r="A152" t="inlineStr">
        <is>
          <t>A 62321-2019</t>
        </is>
      </c>
      <c r="B152" s="1" t="n">
        <v>43788</v>
      </c>
      <c r="C152" s="1" t="n">
        <v>45210</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62321-2019.xlsx", "A 62321-2019")</f>
        <v/>
      </c>
      <c r="T152">
        <f>HYPERLINK("https://klasma.github.io/Logging_2023/kartor/A 62321-2019.png", "A 62321-2019")</f>
        <v/>
      </c>
      <c r="V152">
        <f>HYPERLINK("https://klasma.github.io/Logging_2023/klagomål/A 62321-2019.docx", "A 62321-2019")</f>
        <v/>
      </c>
      <c r="W152">
        <f>HYPERLINK("https://klasma.github.io/Logging_2023/klagomålsmail/A 62321-2019.docx", "A 62321-2019")</f>
        <v/>
      </c>
      <c r="X152">
        <f>HYPERLINK("https://klasma.github.io/Logging_2023/tillsyn/A 62321-2019.docx", "A 62321-2019")</f>
        <v/>
      </c>
      <c r="Y152">
        <f>HYPERLINK("https://klasma.github.io/Logging_2023/tillsynsmail/A 62321-2019.docx", "A 62321-2019")</f>
        <v/>
      </c>
    </row>
    <row r="153" ht="15" customHeight="1">
      <c r="A153" t="inlineStr">
        <is>
          <t>A 11591-2020</t>
        </is>
      </c>
      <c r="B153" s="1" t="n">
        <v>43893</v>
      </c>
      <c r="C153" s="1" t="n">
        <v>45210</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11591-2020.xlsx", "A 11591-2020")</f>
        <v/>
      </c>
      <c r="T153">
        <f>HYPERLINK("https://klasma.github.io/Logging_2061/kartor/A 11591-2020.png", "A 11591-2020")</f>
        <v/>
      </c>
      <c r="V153">
        <f>HYPERLINK("https://klasma.github.io/Logging_2061/klagomål/A 11591-2020.docx", "A 11591-2020")</f>
        <v/>
      </c>
      <c r="W153">
        <f>HYPERLINK("https://klasma.github.io/Logging_2061/klagomålsmail/A 11591-2020.docx", "A 11591-2020")</f>
        <v/>
      </c>
      <c r="X153">
        <f>HYPERLINK("https://klasma.github.io/Logging_2061/tillsyn/A 11591-2020.docx", "A 11591-2020")</f>
        <v/>
      </c>
      <c r="Y153">
        <f>HYPERLINK("https://klasma.github.io/Logging_2061/tillsynsmail/A 11591-2020.docx", "A 11591-2020")</f>
        <v/>
      </c>
    </row>
    <row r="154" ht="15" customHeight="1">
      <c r="A154" t="inlineStr">
        <is>
          <t>A 22832-2020</t>
        </is>
      </c>
      <c r="B154" s="1" t="n">
        <v>43964</v>
      </c>
      <c r="C154" s="1" t="n">
        <v>45210</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22832-2020.xlsx", "A 22832-2020")</f>
        <v/>
      </c>
      <c r="T154">
        <f>HYPERLINK("https://klasma.github.io/Logging_2061/kartor/A 22832-2020.png", "A 22832-2020")</f>
        <v/>
      </c>
      <c r="V154">
        <f>HYPERLINK("https://klasma.github.io/Logging_2061/klagomål/A 22832-2020.docx", "A 22832-2020")</f>
        <v/>
      </c>
      <c r="W154">
        <f>HYPERLINK("https://klasma.github.io/Logging_2061/klagomålsmail/A 22832-2020.docx", "A 22832-2020")</f>
        <v/>
      </c>
      <c r="X154">
        <f>HYPERLINK("https://klasma.github.io/Logging_2061/tillsyn/A 22832-2020.docx", "A 22832-2020")</f>
        <v/>
      </c>
      <c r="Y154">
        <f>HYPERLINK("https://klasma.github.io/Logging_2061/tillsynsmail/A 22832-2020.docx", "A 22832-2020")</f>
        <v/>
      </c>
    </row>
    <row r="155" ht="15" customHeight="1">
      <c r="A155" t="inlineStr">
        <is>
          <t>A 13707-2021</t>
        </is>
      </c>
      <c r="B155" s="1" t="n">
        <v>44274</v>
      </c>
      <c r="C155" s="1" t="n">
        <v>45210</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13707-2021.xlsx", "A 13707-2021")</f>
        <v/>
      </c>
      <c r="T155">
        <f>HYPERLINK("https://klasma.github.io/Logging_2081/kartor/A 13707-2021.png", "A 13707-2021")</f>
        <v/>
      </c>
      <c r="V155">
        <f>HYPERLINK("https://klasma.github.io/Logging_2081/klagomål/A 13707-2021.docx", "A 13707-2021")</f>
        <v/>
      </c>
      <c r="W155">
        <f>HYPERLINK("https://klasma.github.io/Logging_2081/klagomålsmail/A 13707-2021.docx", "A 13707-2021")</f>
        <v/>
      </c>
      <c r="X155">
        <f>HYPERLINK("https://klasma.github.io/Logging_2081/tillsyn/A 13707-2021.docx", "A 13707-2021")</f>
        <v/>
      </c>
      <c r="Y155">
        <f>HYPERLINK("https://klasma.github.io/Logging_2081/tillsynsmail/A 13707-2021.docx", "A 13707-2021")</f>
        <v/>
      </c>
    </row>
    <row r="156" ht="15" customHeight="1">
      <c r="A156" t="inlineStr">
        <is>
          <t>A 30133-2021</t>
        </is>
      </c>
      <c r="B156" s="1" t="n">
        <v>44363</v>
      </c>
      <c r="C156" s="1" t="n">
        <v>45210</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30133-2021.xlsx", "A 30133-2021")</f>
        <v/>
      </c>
      <c r="T156">
        <f>HYPERLINK("https://klasma.github.io/Logging_2023/kartor/A 30133-2021.png", "A 30133-2021")</f>
        <v/>
      </c>
      <c r="V156">
        <f>HYPERLINK("https://klasma.github.io/Logging_2023/klagomål/A 30133-2021.docx", "A 30133-2021")</f>
        <v/>
      </c>
      <c r="W156">
        <f>HYPERLINK("https://klasma.github.io/Logging_2023/klagomålsmail/A 30133-2021.docx", "A 30133-2021")</f>
        <v/>
      </c>
      <c r="X156">
        <f>HYPERLINK("https://klasma.github.io/Logging_2023/tillsyn/A 30133-2021.docx", "A 30133-2021")</f>
        <v/>
      </c>
      <c r="Y156">
        <f>HYPERLINK("https://klasma.github.io/Logging_2023/tillsynsmail/A 30133-2021.docx", "A 30133-2021")</f>
        <v/>
      </c>
    </row>
    <row r="157" ht="15" customHeight="1">
      <c r="A157" t="inlineStr">
        <is>
          <t>A 36468-2021</t>
        </is>
      </c>
      <c r="B157" s="1" t="n">
        <v>44390</v>
      </c>
      <c r="C157" s="1" t="n">
        <v>45210</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36468-2021.xlsx", "A 36468-2021")</f>
        <v/>
      </c>
      <c r="T157">
        <f>HYPERLINK("https://klasma.github.io/Logging_2084/kartor/A 36468-2021.png", "A 36468-2021")</f>
        <v/>
      </c>
      <c r="V157">
        <f>HYPERLINK("https://klasma.github.io/Logging_2084/klagomål/A 36468-2021.docx", "A 36468-2021")</f>
        <v/>
      </c>
      <c r="W157">
        <f>HYPERLINK("https://klasma.github.io/Logging_2084/klagomålsmail/A 36468-2021.docx", "A 36468-2021")</f>
        <v/>
      </c>
      <c r="X157">
        <f>HYPERLINK("https://klasma.github.io/Logging_2084/tillsyn/A 36468-2021.docx", "A 36468-2021")</f>
        <v/>
      </c>
      <c r="Y157">
        <f>HYPERLINK("https://klasma.github.io/Logging_2084/tillsynsmail/A 36468-2021.docx", "A 36468-2021")</f>
        <v/>
      </c>
    </row>
    <row r="158" ht="15" customHeight="1">
      <c r="A158" t="inlineStr">
        <is>
          <t>A 39303-2021</t>
        </is>
      </c>
      <c r="B158" s="1" t="n">
        <v>44413</v>
      </c>
      <c r="C158" s="1" t="n">
        <v>45210</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39303-2021.xlsx", "A 39303-2021")</f>
        <v/>
      </c>
      <c r="T158">
        <f>HYPERLINK("https://klasma.github.io/Logging_2039/kartor/A 39303-2021.png", "A 39303-2021")</f>
        <v/>
      </c>
      <c r="V158">
        <f>HYPERLINK("https://klasma.github.io/Logging_2039/klagomål/A 39303-2021.docx", "A 39303-2021")</f>
        <v/>
      </c>
      <c r="W158">
        <f>HYPERLINK("https://klasma.github.io/Logging_2039/klagomålsmail/A 39303-2021.docx", "A 39303-2021")</f>
        <v/>
      </c>
      <c r="X158">
        <f>HYPERLINK("https://klasma.github.io/Logging_2039/tillsyn/A 39303-2021.docx", "A 39303-2021")</f>
        <v/>
      </c>
      <c r="Y158">
        <f>HYPERLINK("https://klasma.github.io/Logging_2039/tillsynsmail/A 39303-2021.docx", "A 39303-2021")</f>
        <v/>
      </c>
    </row>
    <row r="159" ht="15" customHeight="1">
      <c r="A159" t="inlineStr">
        <is>
          <t>A 44535-2021</t>
        </is>
      </c>
      <c r="B159" s="1" t="n">
        <v>44435</v>
      </c>
      <c r="C159" s="1" t="n">
        <v>45210</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44535-2021.xlsx", "A 44535-2021")</f>
        <v/>
      </c>
      <c r="T159">
        <f>HYPERLINK("https://klasma.github.io/Logging_2085/kartor/A 44535-2021.png", "A 44535-2021")</f>
        <v/>
      </c>
      <c r="V159">
        <f>HYPERLINK("https://klasma.github.io/Logging_2085/klagomål/A 44535-2021.docx", "A 44535-2021")</f>
        <v/>
      </c>
      <c r="W159">
        <f>HYPERLINK("https://klasma.github.io/Logging_2085/klagomålsmail/A 44535-2021.docx", "A 44535-2021")</f>
        <v/>
      </c>
      <c r="X159">
        <f>HYPERLINK("https://klasma.github.io/Logging_2085/tillsyn/A 44535-2021.docx", "A 44535-2021")</f>
        <v/>
      </c>
      <c r="Y159">
        <f>HYPERLINK("https://klasma.github.io/Logging_2085/tillsynsmail/A 44535-2021.docx", "A 44535-2021")</f>
        <v/>
      </c>
    </row>
    <row r="160" ht="15" customHeight="1">
      <c r="A160" t="inlineStr">
        <is>
          <t>A 49872-2021</t>
        </is>
      </c>
      <c r="B160" s="1" t="n">
        <v>44455</v>
      </c>
      <c r="C160" s="1" t="n">
        <v>45210</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49872-2021.xlsx", "A 49872-2021")</f>
        <v/>
      </c>
      <c r="T160">
        <f>HYPERLINK("https://klasma.github.io/Logging_2083/kartor/A 49872-2021.png", "A 49872-2021")</f>
        <v/>
      </c>
      <c r="U160">
        <f>HYPERLINK("https://klasma.github.io/Logging_2083/knärot/A 49872-2021.png", "A 49872-2021")</f>
        <v/>
      </c>
      <c r="V160">
        <f>HYPERLINK("https://klasma.github.io/Logging_2083/klagomål/A 49872-2021.docx", "A 49872-2021")</f>
        <v/>
      </c>
      <c r="W160">
        <f>HYPERLINK("https://klasma.github.io/Logging_2083/klagomålsmail/A 49872-2021.docx", "A 49872-2021")</f>
        <v/>
      </c>
      <c r="X160">
        <f>HYPERLINK("https://klasma.github.io/Logging_2083/tillsyn/A 49872-2021.docx", "A 49872-2021")</f>
        <v/>
      </c>
      <c r="Y160">
        <f>HYPERLINK("https://klasma.github.io/Logging_2083/tillsynsmail/A 49872-2021.docx", "A 49872-2021")</f>
        <v/>
      </c>
    </row>
    <row r="161" ht="15" customHeight="1">
      <c r="A161" t="inlineStr">
        <is>
          <t>A 57096-2021</t>
        </is>
      </c>
      <c r="B161" s="1" t="n">
        <v>44482</v>
      </c>
      <c r="C161" s="1" t="n">
        <v>45210</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57096-2021.xlsx", "A 57096-2021")</f>
        <v/>
      </c>
      <c r="T161">
        <f>HYPERLINK("https://klasma.github.io/Logging_2039/kartor/A 57096-2021.png", "A 57096-2021")</f>
        <v/>
      </c>
      <c r="V161">
        <f>HYPERLINK("https://klasma.github.io/Logging_2039/klagomål/A 57096-2021.docx", "A 57096-2021")</f>
        <v/>
      </c>
      <c r="W161">
        <f>HYPERLINK("https://klasma.github.io/Logging_2039/klagomålsmail/A 57096-2021.docx", "A 57096-2021")</f>
        <v/>
      </c>
      <c r="X161">
        <f>HYPERLINK("https://klasma.github.io/Logging_2039/tillsyn/A 57096-2021.docx", "A 57096-2021")</f>
        <v/>
      </c>
      <c r="Y161">
        <f>HYPERLINK("https://klasma.github.io/Logging_2039/tillsynsmail/A 57096-2021.docx", "A 57096-2021")</f>
        <v/>
      </c>
    </row>
    <row r="162" ht="15" customHeight="1">
      <c r="A162" t="inlineStr">
        <is>
          <t>A 58719-2021</t>
        </is>
      </c>
      <c r="B162" s="1" t="n">
        <v>44489</v>
      </c>
      <c r="C162" s="1" t="n">
        <v>45210</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58719-2021.xlsx", "A 58719-2021")</f>
        <v/>
      </c>
      <c r="T162">
        <f>HYPERLINK("https://klasma.github.io/Logging_2083/kartor/A 58719-2021.png", "A 58719-2021")</f>
        <v/>
      </c>
      <c r="U162">
        <f>HYPERLINK("https://klasma.github.io/Logging_2083/knärot/A 58719-2021.png", "A 58719-2021")</f>
        <v/>
      </c>
      <c r="V162">
        <f>HYPERLINK("https://klasma.github.io/Logging_2083/klagomål/A 58719-2021.docx", "A 58719-2021")</f>
        <v/>
      </c>
      <c r="W162">
        <f>HYPERLINK("https://klasma.github.io/Logging_2083/klagomålsmail/A 58719-2021.docx", "A 58719-2021")</f>
        <v/>
      </c>
      <c r="X162">
        <f>HYPERLINK("https://klasma.github.io/Logging_2083/tillsyn/A 58719-2021.docx", "A 58719-2021")</f>
        <v/>
      </c>
      <c r="Y162">
        <f>HYPERLINK("https://klasma.github.io/Logging_2083/tillsynsmail/A 58719-2021.docx", "A 58719-2021")</f>
        <v/>
      </c>
    </row>
    <row r="163" ht="15" customHeight="1">
      <c r="A163" t="inlineStr">
        <is>
          <t>A 10658-2022</t>
        </is>
      </c>
      <c r="B163" s="1" t="n">
        <v>44624</v>
      </c>
      <c r="C163" s="1" t="n">
        <v>45210</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10658-2022.xlsx", "A 10658-2022")</f>
        <v/>
      </c>
      <c r="T163">
        <f>HYPERLINK("https://klasma.github.io/Logging_2031/kartor/A 10658-2022.png", "A 10658-2022")</f>
        <v/>
      </c>
      <c r="U163">
        <f>HYPERLINK("https://klasma.github.io/Logging_2031/knärot/A 10658-2022.png", "A 10658-2022")</f>
        <v/>
      </c>
      <c r="V163">
        <f>HYPERLINK("https://klasma.github.io/Logging_2031/klagomål/A 10658-2022.docx", "A 10658-2022")</f>
        <v/>
      </c>
      <c r="W163">
        <f>HYPERLINK("https://klasma.github.io/Logging_2031/klagomålsmail/A 10658-2022.docx", "A 10658-2022")</f>
        <v/>
      </c>
      <c r="X163">
        <f>HYPERLINK("https://klasma.github.io/Logging_2031/tillsyn/A 10658-2022.docx", "A 10658-2022")</f>
        <v/>
      </c>
      <c r="Y163">
        <f>HYPERLINK("https://klasma.github.io/Logging_2031/tillsynsmail/A 10658-2022.docx", "A 10658-2022")</f>
        <v/>
      </c>
    </row>
    <row r="164" ht="15" customHeight="1">
      <c r="A164" t="inlineStr">
        <is>
          <t>A 16885-2022</t>
        </is>
      </c>
      <c r="B164" s="1" t="n">
        <v>44676</v>
      </c>
      <c r="C164" s="1" t="n">
        <v>45210</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16885-2022.xlsx", "A 16885-2022")</f>
        <v/>
      </c>
      <c r="T164">
        <f>HYPERLINK("https://klasma.github.io/Logging_2023/kartor/A 16885-2022.png", "A 16885-2022")</f>
        <v/>
      </c>
      <c r="V164">
        <f>HYPERLINK("https://klasma.github.io/Logging_2023/klagomål/A 16885-2022.docx", "A 16885-2022")</f>
        <v/>
      </c>
      <c r="W164">
        <f>HYPERLINK("https://klasma.github.io/Logging_2023/klagomålsmail/A 16885-2022.docx", "A 16885-2022")</f>
        <v/>
      </c>
      <c r="X164">
        <f>HYPERLINK("https://klasma.github.io/Logging_2023/tillsyn/A 16885-2022.docx", "A 16885-2022")</f>
        <v/>
      </c>
      <c r="Y164">
        <f>HYPERLINK("https://klasma.github.io/Logging_2023/tillsynsmail/A 16885-2022.docx", "A 16885-2022")</f>
        <v/>
      </c>
    </row>
    <row r="165" ht="15" customHeight="1">
      <c r="A165" t="inlineStr">
        <is>
          <t>A 19130-2022</t>
        </is>
      </c>
      <c r="B165" s="1" t="n">
        <v>44691</v>
      </c>
      <c r="C165" s="1" t="n">
        <v>45210</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19130-2022.xlsx", "A 19130-2022")</f>
        <v/>
      </c>
      <c r="T165">
        <f>HYPERLINK("https://klasma.github.io/Logging_2034/kartor/A 19130-2022.png", "A 19130-2022")</f>
        <v/>
      </c>
      <c r="V165">
        <f>HYPERLINK("https://klasma.github.io/Logging_2034/klagomål/A 19130-2022.docx", "A 19130-2022")</f>
        <v/>
      </c>
      <c r="W165">
        <f>HYPERLINK("https://klasma.github.io/Logging_2034/klagomålsmail/A 19130-2022.docx", "A 19130-2022")</f>
        <v/>
      </c>
      <c r="X165">
        <f>HYPERLINK("https://klasma.github.io/Logging_2034/tillsyn/A 19130-2022.docx", "A 19130-2022")</f>
        <v/>
      </c>
      <c r="Y165">
        <f>HYPERLINK("https://klasma.github.io/Logging_2034/tillsynsmail/A 19130-2022.docx", "A 19130-2022")</f>
        <v/>
      </c>
    </row>
    <row r="166" ht="15" customHeight="1">
      <c r="A166" t="inlineStr">
        <is>
          <t>A 20396-2022</t>
        </is>
      </c>
      <c r="B166" s="1" t="n">
        <v>44699</v>
      </c>
      <c r="C166" s="1" t="n">
        <v>45210</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20396-2022.xlsx", "A 20396-2022")</f>
        <v/>
      </c>
      <c r="T166">
        <f>HYPERLINK("https://klasma.github.io/Logging_2084/kartor/A 20396-2022.png", "A 20396-2022")</f>
        <v/>
      </c>
      <c r="U166">
        <f>HYPERLINK("https://klasma.github.io/Logging_2084/knärot/A 20396-2022.png", "A 20396-2022")</f>
        <v/>
      </c>
      <c r="V166">
        <f>HYPERLINK("https://klasma.github.io/Logging_2084/klagomål/A 20396-2022.docx", "A 20396-2022")</f>
        <v/>
      </c>
      <c r="W166">
        <f>HYPERLINK("https://klasma.github.io/Logging_2084/klagomålsmail/A 20396-2022.docx", "A 20396-2022")</f>
        <v/>
      </c>
      <c r="X166">
        <f>HYPERLINK("https://klasma.github.io/Logging_2084/tillsyn/A 20396-2022.docx", "A 20396-2022")</f>
        <v/>
      </c>
      <c r="Y166">
        <f>HYPERLINK("https://klasma.github.io/Logging_2084/tillsynsmail/A 20396-2022.docx", "A 20396-2022")</f>
        <v/>
      </c>
    </row>
    <row r="167" ht="15" customHeight="1">
      <c r="A167" t="inlineStr">
        <is>
          <t>A 40710-2022</t>
        </is>
      </c>
      <c r="B167" s="1" t="n">
        <v>44824</v>
      </c>
      <c r="C167" s="1" t="n">
        <v>45210</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40710-2022.xlsx", "A 40710-2022")</f>
        <v/>
      </c>
      <c r="T167">
        <f>HYPERLINK("https://klasma.github.io/Logging_2039/kartor/A 40710-2022.png", "A 40710-2022")</f>
        <v/>
      </c>
      <c r="V167">
        <f>HYPERLINK("https://klasma.github.io/Logging_2039/klagomål/A 40710-2022.docx", "A 40710-2022")</f>
        <v/>
      </c>
      <c r="W167">
        <f>HYPERLINK("https://klasma.github.io/Logging_2039/klagomålsmail/A 40710-2022.docx", "A 40710-2022")</f>
        <v/>
      </c>
      <c r="X167">
        <f>HYPERLINK("https://klasma.github.io/Logging_2039/tillsyn/A 40710-2022.docx", "A 40710-2022")</f>
        <v/>
      </c>
      <c r="Y167">
        <f>HYPERLINK("https://klasma.github.io/Logging_2039/tillsynsmail/A 40710-2022.docx", "A 40710-2022")</f>
        <v/>
      </c>
    </row>
    <row r="168" ht="15" customHeight="1">
      <c r="A168" t="inlineStr">
        <is>
          <t>A 40633-2022</t>
        </is>
      </c>
      <c r="B168" s="1" t="n">
        <v>44824</v>
      </c>
      <c r="C168" s="1" t="n">
        <v>45210</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40633-2022.xlsx", "A 40633-2022")</f>
        <v/>
      </c>
      <c r="T168">
        <f>HYPERLINK("https://klasma.github.io/Logging_2081/kartor/A 40633-2022.png", "A 40633-2022")</f>
        <v/>
      </c>
      <c r="U168">
        <f>HYPERLINK("https://klasma.github.io/Logging_2081/knärot/A 40633-2022.png", "A 40633-2022")</f>
        <v/>
      </c>
      <c r="V168">
        <f>HYPERLINK("https://klasma.github.io/Logging_2081/klagomål/A 40633-2022.docx", "A 40633-2022")</f>
        <v/>
      </c>
      <c r="W168">
        <f>HYPERLINK("https://klasma.github.io/Logging_2081/klagomålsmail/A 40633-2022.docx", "A 40633-2022")</f>
        <v/>
      </c>
      <c r="X168">
        <f>HYPERLINK("https://klasma.github.io/Logging_2081/tillsyn/A 40633-2022.docx", "A 40633-2022")</f>
        <v/>
      </c>
      <c r="Y168">
        <f>HYPERLINK("https://klasma.github.io/Logging_2081/tillsynsmail/A 40633-2022.docx", "A 40633-2022")</f>
        <v/>
      </c>
    </row>
    <row r="169" ht="15" customHeight="1">
      <c r="A169" t="inlineStr">
        <is>
          <t>A 41966-2022</t>
        </is>
      </c>
      <c r="B169" s="1" t="n">
        <v>44830</v>
      </c>
      <c r="C169" s="1" t="n">
        <v>45210</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41966-2022.xlsx", "A 41966-2022")</f>
        <v/>
      </c>
      <c r="T169">
        <f>HYPERLINK("https://klasma.github.io/Logging_2039/kartor/A 41966-2022.png", "A 41966-2022")</f>
        <v/>
      </c>
      <c r="V169">
        <f>HYPERLINK("https://klasma.github.io/Logging_2039/klagomål/A 41966-2022.docx", "A 41966-2022")</f>
        <v/>
      </c>
      <c r="W169">
        <f>HYPERLINK("https://klasma.github.io/Logging_2039/klagomålsmail/A 41966-2022.docx", "A 41966-2022")</f>
        <v/>
      </c>
      <c r="X169">
        <f>HYPERLINK("https://klasma.github.io/Logging_2039/tillsyn/A 41966-2022.docx", "A 41966-2022")</f>
        <v/>
      </c>
      <c r="Y169">
        <f>HYPERLINK("https://klasma.github.io/Logging_2039/tillsynsmail/A 41966-2022.docx", "A 41966-2022")</f>
        <v/>
      </c>
    </row>
    <row r="170" ht="15" customHeight="1">
      <c r="A170" t="inlineStr">
        <is>
          <t>A 43330-2022</t>
        </is>
      </c>
      <c r="B170" s="1" t="n">
        <v>44834</v>
      </c>
      <c r="C170" s="1" t="n">
        <v>45210</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43330-2022.xlsx", "A 43330-2022")</f>
        <v/>
      </c>
      <c r="T170">
        <f>HYPERLINK("https://klasma.github.io/Logging_2029/kartor/A 43330-2022.png", "A 43330-2022")</f>
        <v/>
      </c>
      <c r="V170">
        <f>HYPERLINK("https://klasma.github.io/Logging_2029/klagomål/A 43330-2022.docx", "A 43330-2022")</f>
        <v/>
      </c>
      <c r="W170">
        <f>HYPERLINK("https://klasma.github.io/Logging_2029/klagomålsmail/A 43330-2022.docx", "A 43330-2022")</f>
        <v/>
      </c>
      <c r="X170">
        <f>HYPERLINK("https://klasma.github.io/Logging_2029/tillsyn/A 43330-2022.docx", "A 43330-2022")</f>
        <v/>
      </c>
      <c r="Y170">
        <f>HYPERLINK("https://klasma.github.io/Logging_2029/tillsynsmail/A 43330-2022.docx", "A 43330-2022")</f>
        <v/>
      </c>
    </row>
    <row r="171" ht="15" customHeight="1">
      <c r="A171" t="inlineStr">
        <is>
          <t>A 50207-2022</t>
        </is>
      </c>
      <c r="B171" s="1" t="n">
        <v>44865</v>
      </c>
      <c r="C171" s="1" t="n">
        <v>45210</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50207-2022.xlsx", "A 50207-2022")</f>
        <v/>
      </c>
      <c r="T171">
        <f>HYPERLINK("https://klasma.github.io/Logging_2039/kartor/A 50207-2022.png", "A 50207-2022")</f>
        <v/>
      </c>
      <c r="V171">
        <f>HYPERLINK("https://klasma.github.io/Logging_2039/klagomål/A 50207-2022.docx", "A 50207-2022")</f>
        <v/>
      </c>
      <c r="W171">
        <f>HYPERLINK("https://klasma.github.io/Logging_2039/klagomålsmail/A 50207-2022.docx", "A 50207-2022")</f>
        <v/>
      </c>
      <c r="X171">
        <f>HYPERLINK("https://klasma.github.io/Logging_2039/tillsyn/A 50207-2022.docx", "A 50207-2022")</f>
        <v/>
      </c>
      <c r="Y171">
        <f>HYPERLINK("https://klasma.github.io/Logging_2039/tillsynsmail/A 50207-2022.docx", "A 50207-2022")</f>
        <v/>
      </c>
    </row>
    <row r="172" ht="15" customHeight="1">
      <c r="A172" t="inlineStr">
        <is>
          <t>A 50359-2022</t>
        </is>
      </c>
      <c r="B172" s="1" t="n">
        <v>44866</v>
      </c>
      <c r="C172" s="1" t="n">
        <v>45210</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50359-2022.xlsx", "A 50359-2022")</f>
        <v/>
      </c>
      <c r="T172">
        <f>HYPERLINK("https://klasma.github.io/Logging_2029/kartor/A 50359-2022.png", "A 50359-2022")</f>
        <v/>
      </c>
      <c r="U172">
        <f>HYPERLINK("https://klasma.github.io/Logging_2029/knärot/A 50359-2022.png", "A 50359-2022")</f>
        <v/>
      </c>
      <c r="V172">
        <f>HYPERLINK("https://klasma.github.io/Logging_2029/klagomål/A 50359-2022.docx", "A 50359-2022")</f>
        <v/>
      </c>
      <c r="W172">
        <f>HYPERLINK("https://klasma.github.io/Logging_2029/klagomålsmail/A 50359-2022.docx", "A 50359-2022")</f>
        <v/>
      </c>
      <c r="X172">
        <f>HYPERLINK("https://klasma.github.io/Logging_2029/tillsyn/A 50359-2022.docx", "A 50359-2022")</f>
        <v/>
      </c>
      <c r="Y172">
        <f>HYPERLINK("https://klasma.github.io/Logging_2029/tillsynsmail/A 50359-2022.docx", "A 50359-2022")</f>
        <v/>
      </c>
    </row>
    <row r="173" ht="15" customHeight="1">
      <c r="A173" t="inlineStr">
        <is>
          <t>A 57643-2022</t>
        </is>
      </c>
      <c r="B173" s="1" t="n">
        <v>44897</v>
      </c>
      <c r="C173" s="1" t="n">
        <v>45210</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57643-2022.xlsx", "A 57643-2022")</f>
        <v/>
      </c>
      <c r="T173">
        <f>HYPERLINK("https://klasma.github.io/Logging_2083/kartor/A 57643-2022.png", "A 57643-2022")</f>
        <v/>
      </c>
      <c r="U173">
        <f>HYPERLINK("https://klasma.github.io/Logging_2083/knärot/A 57643-2022.png", "A 57643-2022")</f>
        <v/>
      </c>
      <c r="V173">
        <f>HYPERLINK("https://klasma.github.io/Logging_2083/klagomål/A 57643-2022.docx", "A 57643-2022")</f>
        <v/>
      </c>
      <c r="W173">
        <f>HYPERLINK("https://klasma.github.io/Logging_2083/klagomålsmail/A 57643-2022.docx", "A 57643-2022")</f>
        <v/>
      </c>
      <c r="X173">
        <f>HYPERLINK("https://klasma.github.io/Logging_2083/tillsyn/A 57643-2022.docx", "A 57643-2022")</f>
        <v/>
      </c>
      <c r="Y173">
        <f>HYPERLINK("https://klasma.github.io/Logging_2083/tillsynsmail/A 57643-2022.docx", "A 57643-2022")</f>
        <v/>
      </c>
    </row>
    <row r="174" ht="15" customHeight="1">
      <c r="A174" t="inlineStr">
        <is>
          <t>A 14637-2023</t>
        </is>
      </c>
      <c r="B174" s="1" t="n">
        <v>45013</v>
      </c>
      <c r="C174" s="1" t="n">
        <v>45210</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14637-2023.xlsx", "A 14637-2023")</f>
        <v/>
      </c>
      <c r="T174">
        <f>HYPERLINK("https://klasma.github.io/Logging_2085/kartor/A 14637-2023.png", "A 14637-2023")</f>
        <v/>
      </c>
      <c r="V174">
        <f>HYPERLINK("https://klasma.github.io/Logging_2085/klagomål/A 14637-2023.docx", "A 14637-2023")</f>
        <v/>
      </c>
      <c r="W174">
        <f>HYPERLINK("https://klasma.github.io/Logging_2085/klagomålsmail/A 14637-2023.docx", "A 14637-2023")</f>
        <v/>
      </c>
      <c r="X174">
        <f>HYPERLINK("https://klasma.github.io/Logging_2085/tillsyn/A 14637-2023.docx", "A 14637-2023")</f>
        <v/>
      </c>
      <c r="Y174">
        <f>HYPERLINK("https://klasma.github.io/Logging_2085/tillsynsmail/A 14637-2023.docx", "A 14637-2023")</f>
        <v/>
      </c>
    </row>
    <row r="175" ht="15" customHeight="1">
      <c r="A175" t="inlineStr">
        <is>
          <t>A 16246-2023</t>
        </is>
      </c>
      <c r="B175" s="1" t="n">
        <v>45028</v>
      </c>
      <c r="C175" s="1" t="n">
        <v>45210</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16246-2023.xlsx", "A 16246-2023")</f>
        <v/>
      </c>
      <c r="T175">
        <f>HYPERLINK("https://klasma.github.io/Logging_2081/kartor/A 16246-2023.png", "A 16246-2023")</f>
        <v/>
      </c>
      <c r="U175">
        <f>HYPERLINK("https://klasma.github.io/Logging_2081/knärot/A 16246-2023.png", "A 16246-2023")</f>
        <v/>
      </c>
      <c r="V175">
        <f>HYPERLINK("https://klasma.github.io/Logging_2081/klagomål/A 16246-2023.docx", "A 16246-2023")</f>
        <v/>
      </c>
      <c r="W175">
        <f>HYPERLINK("https://klasma.github.io/Logging_2081/klagomålsmail/A 16246-2023.docx", "A 16246-2023")</f>
        <v/>
      </c>
      <c r="X175">
        <f>HYPERLINK("https://klasma.github.io/Logging_2081/tillsyn/A 16246-2023.docx", "A 16246-2023")</f>
        <v/>
      </c>
      <c r="Y175">
        <f>HYPERLINK("https://klasma.github.io/Logging_2081/tillsynsmail/A 16246-2023.docx", "A 16246-2023")</f>
        <v/>
      </c>
    </row>
    <row r="176" ht="15" customHeight="1">
      <c r="A176" t="inlineStr">
        <is>
          <t>A 29252-2023</t>
        </is>
      </c>
      <c r="B176" s="1" t="n">
        <v>45105</v>
      </c>
      <c r="C176" s="1" t="n">
        <v>45210</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29252-2023.xlsx", "A 29252-2023")</f>
        <v/>
      </c>
      <c r="T176">
        <f>HYPERLINK("https://klasma.github.io/Logging_2039/kartor/A 29252-2023.png", "A 29252-2023")</f>
        <v/>
      </c>
      <c r="V176">
        <f>HYPERLINK("https://klasma.github.io/Logging_2039/klagomål/A 29252-2023.docx", "A 29252-2023")</f>
        <v/>
      </c>
      <c r="W176">
        <f>HYPERLINK("https://klasma.github.io/Logging_2039/klagomålsmail/A 29252-2023.docx", "A 29252-2023")</f>
        <v/>
      </c>
      <c r="X176">
        <f>HYPERLINK("https://klasma.github.io/Logging_2039/tillsyn/A 29252-2023.docx", "A 29252-2023")</f>
        <v/>
      </c>
      <c r="Y176">
        <f>HYPERLINK("https://klasma.github.io/Logging_2039/tillsynsmail/A 29252-2023.docx", "A 29252-2023")</f>
        <v/>
      </c>
    </row>
    <row r="177" ht="15" customHeight="1">
      <c r="A177" t="inlineStr">
        <is>
          <t>A 33550-2023</t>
        </is>
      </c>
      <c r="B177" s="1" t="n">
        <v>45118</v>
      </c>
      <c r="C177" s="1" t="n">
        <v>45210</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33550-2023.xlsx", "A 33550-2023")</f>
        <v/>
      </c>
      <c r="T177">
        <f>HYPERLINK("https://klasma.github.io/Logging_2039/kartor/A 33550-2023.png", "A 33550-2023")</f>
        <v/>
      </c>
      <c r="V177">
        <f>HYPERLINK("https://klasma.github.io/Logging_2039/klagomål/A 33550-2023.docx", "A 33550-2023")</f>
        <v/>
      </c>
      <c r="W177">
        <f>HYPERLINK("https://klasma.github.io/Logging_2039/klagomålsmail/A 33550-2023.docx", "A 33550-2023")</f>
        <v/>
      </c>
      <c r="X177">
        <f>HYPERLINK("https://klasma.github.io/Logging_2039/tillsyn/A 33550-2023.docx", "A 33550-2023")</f>
        <v/>
      </c>
      <c r="Y177">
        <f>HYPERLINK("https://klasma.github.io/Logging_2039/tillsynsmail/A 33550-2023.docx", "A 33550-2023")</f>
        <v/>
      </c>
    </row>
    <row r="178" ht="15" customHeight="1">
      <c r="A178" t="inlineStr">
        <is>
          <t>A 33366-2023</t>
        </is>
      </c>
      <c r="B178" s="1" t="n">
        <v>45128</v>
      </c>
      <c r="C178" s="1" t="n">
        <v>45210</v>
      </c>
      <c r="D178" t="inlineStr">
        <is>
          <t>DALARNAS LÄN</t>
        </is>
      </c>
      <c r="E178" t="inlineStr">
        <is>
          <t>ORSA</t>
        </is>
      </c>
      <c r="F178" t="inlineStr">
        <is>
          <t>Bergvik skog väst AB</t>
        </is>
      </c>
      <c r="G178" t="n">
        <v>3.5</v>
      </c>
      <c r="H178" t="n">
        <v>1</v>
      </c>
      <c r="I178" t="n">
        <v>0</v>
      </c>
      <c r="J178" t="n">
        <v>4</v>
      </c>
      <c r="K178" t="n">
        <v>0</v>
      </c>
      <c r="L178" t="n">
        <v>0</v>
      </c>
      <c r="M178" t="n">
        <v>0</v>
      </c>
      <c r="N178" t="n">
        <v>0</v>
      </c>
      <c r="O178" t="n">
        <v>4</v>
      </c>
      <c r="P178" t="n">
        <v>0</v>
      </c>
      <c r="Q178" t="n">
        <v>4</v>
      </c>
      <c r="R178" s="2" t="inlineStr">
        <is>
          <t>Garnlav
Granticka
Tretåig hackspett
Violettgrå tagellav</t>
        </is>
      </c>
      <c r="S178">
        <f>HYPERLINK("https://klasma.github.io/Logging_2034/artfynd/A 33366-2023.xlsx", "A 33366-2023")</f>
        <v/>
      </c>
      <c r="T178">
        <f>HYPERLINK("https://klasma.github.io/Logging_2034/kartor/A 33366-2023.png", "A 33366-2023")</f>
        <v/>
      </c>
      <c r="V178">
        <f>HYPERLINK("https://klasma.github.io/Logging_2034/klagomål/A 33366-2023.docx", "A 33366-2023")</f>
        <v/>
      </c>
      <c r="W178">
        <f>HYPERLINK("https://klasma.github.io/Logging_2034/klagomålsmail/A 33366-2023.docx", "A 33366-2023")</f>
        <v/>
      </c>
      <c r="X178">
        <f>HYPERLINK("https://klasma.github.io/Logging_2034/tillsyn/A 33366-2023.docx", "A 33366-2023")</f>
        <v/>
      </c>
      <c r="Y178">
        <f>HYPERLINK("https://klasma.github.io/Logging_2034/tillsynsmail/A 33366-2023.docx", "A 33366-2023")</f>
        <v/>
      </c>
    </row>
    <row r="179" ht="15" customHeight="1">
      <c r="A179" t="inlineStr">
        <is>
          <t>A 42874-2023</t>
        </is>
      </c>
      <c r="B179" s="1" t="n">
        <v>45182</v>
      </c>
      <c r="C179" s="1" t="n">
        <v>45210</v>
      </c>
      <c r="D179" t="inlineStr">
        <is>
          <t>DALARNAS LÄN</t>
        </is>
      </c>
      <c r="E179" t="inlineStr">
        <is>
          <t>ÄLVDALEN</t>
        </is>
      </c>
      <c r="F179" t="inlineStr">
        <is>
          <t>Sveaskog</t>
        </is>
      </c>
      <c r="G179" t="n">
        <v>2.7</v>
      </c>
      <c r="H179" t="n">
        <v>0</v>
      </c>
      <c r="I179" t="n">
        <v>1</v>
      </c>
      <c r="J179" t="n">
        <v>3</v>
      </c>
      <c r="K179" t="n">
        <v>0</v>
      </c>
      <c r="L179" t="n">
        <v>0</v>
      </c>
      <c r="M179" t="n">
        <v>0</v>
      </c>
      <c r="N179" t="n">
        <v>0</v>
      </c>
      <c r="O179" t="n">
        <v>3</v>
      </c>
      <c r="P179" t="n">
        <v>0</v>
      </c>
      <c r="Q179" t="n">
        <v>4</v>
      </c>
      <c r="R179" s="2" t="inlineStr">
        <is>
          <t>Blå taggsvamp
Motaggsvamp
Reliktbock
Skarp dropptaggsvamp</t>
        </is>
      </c>
      <c r="S179">
        <f>HYPERLINK("https://klasma.github.io/Logging_2039/artfynd/A 42874-2023.xlsx", "A 42874-2023")</f>
        <v/>
      </c>
      <c r="T179">
        <f>HYPERLINK("https://klasma.github.io/Logging_2039/kartor/A 42874-2023.png", "A 42874-2023")</f>
        <v/>
      </c>
      <c r="V179">
        <f>HYPERLINK("https://klasma.github.io/Logging_2039/klagomål/A 42874-2023.docx", "A 42874-2023")</f>
        <v/>
      </c>
      <c r="W179">
        <f>HYPERLINK("https://klasma.github.io/Logging_2039/klagomålsmail/A 42874-2023.docx", "A 42874-2023")</f>
        <v/>
      </c>
      <c r="X179">
        <f>HYPERLINK("https://klasma.github.io/Logging_2039/tillsyn/A 42874-2023.docx", "A 42874-2023")</f>
        <v/>
      </c>
      <c r="Y179">
        <f>HYPERLINK("https://klasma.github.io/Logging_2039/tillsynsmail/A 42874-2023.docx", "A 42874-2023")</f>
        <v/>
      </c>
    </row>
    <row r="180" ht="15" customHeight="1">
      <c r="A180" t="inlineStr">
        <is>
          <t>A 59802-2018</t>
        </is>
      </c>
      <c r="B180" s="1" t="n">
        <v>43405</v>
      </c>
      <c r="C180" s="1" t="n">
        <v>45210</v>
      </c>
      <c r="D180" t="inlineStr">
        <is>
          <t>DALARNAS LÄN</t>
        </is>
      </c>
      <c r="E180" t="inlineStr">
        <is>
          <t>LEKSAND</t>
        </is>
      </c>
      <c r="G180" t="n">
        <v>6.5</v>
      </c>
      <c r="H180" t="n">
        <v>0</v>
      </c>
      <c r="I180" t="n">
        <v>1</v>
      </c>
      <c r="J180" t="n">
        <v>2</v>
      </c>
      <c r="K180" t="n">
        <v>0</v>
      </c>
      <c r="L180" t="n">
        <v>0</v>
      </c>
      <c r="M180" t="n">
        <v>0</v>
      </c>
      <c r="N180" t="n">
        <v>0</v>
      </c>
      <c r="O180" t="n">
        <v>2</v>
      </c>
      <c r="P180" t="n">
        <v>0</v>
      </c>
      <c r="Q180" t="n">
        <v>3</v>
      </c>
      <c r="R180" s="2" t="inlineStr">
        <is>
          <t>Kolflarnlav
Vedskivlav
Mindre märgborre</t>
        </is>
      </c>
      <c r="S180">
        <f>HYPERLINK("https://klasma.github.io/Logging_2029/artfynd/A 59802-2018.xlsx", "A 59802-2018")</f>
        <v/>
      </c>
      <c r="T180">
        <f>HYPERLINK("https://klasma.github.io/Logging_2029/kartor/A 59802-2018.png", "A 59802-2018")</f>
        <v/>
      </c>
      <c r="V180">
        <f>HYPERLINK("https://klasma.github.io/Logging_2029/klagomål/A 59802-2018.docx", "A 59802-2018")</f>
        <v/>
      </c>
      <c r="W180">
        <f>HYPERLINK("https://klasma.github.io/Logging_2029/klagomålsmail/A 59802-2018.docx", "A 59802-2018")</f>
        <v/>
      </c>
      <c r="X180">
        <f>HYPERLINK("https://klasma.github.io/Logging_2029/tillsyn/A 59802-2018.docx", "A 59802-2018")</f>
        <v/>
      </c>
      <c r="Y180">
        <f>HYPERLINK("https://klasma.github.io/Logging_2029/tillsynsmail/A 59802-2018.docx", "A 59802-2018")</f>
        <v/>
      </c>
    </row>
    <row r="181" ht="15" customHeight="1">
      <c r="A181" t="inlineStr">
        <is>
          <t>A 70912-2018</t>
        </is>
      </c>
      <c r="B181" s="1" t="n">
        <v>43452</v>
      </c>
      <c r="C181" s="1" t="n">
        <v>45210</v>
      </c>
      <c r="D181" t="inlineStr">
        <is>
          <t>DALARNAS LÄN</t>
        </is>
      </c>
      <c r="E181" t="inlineStr">
        <is>
          <t>LUDVIKA</t>
        </is>
      </c>
      <c r="F181" t="inlineStr">
        <is>
          <t>Bergvik skog väst AB</t>
        </is>
      </c>
      <c r="G181" t="n">
        <v>2.1</v>
      </c>
      <c r="H181" t="n">
        <v>0</v>
      </c>
      <c r="I181" t="n">
        <v>2</v>
      </c>
      <c r="J181" t="n">
        <v>1</v>
      </c>
      <c r="K181" t="n">
        <v>0</v>
      </c>
      <c r="L181" t="n">
        <v>0</v>
      </c>
      <c r="M181" t="n">
        <v>0</v>
      </c>
      <c r="N181" t="n">
        <v>0</v>
      </c>
      <c r="O181" t="n">
        <v>1</v>
      </c>
      <c r="P181" t="n">
        <v>0</v>
      </c>
      <c r="Q181" t="n">
        <v>3</v>
      </c>
      <c r="R181" s="2" t="inlineStr">
        <is>
          <t>Gultoppig fingersvamp
Korallblylav
Luddlav</t>
        </is>
      </c>
      <c r="S181">
        <f>HYPERLINK("https://klasma.github.io/Logging_2085/artfynd/A 70912-2018.xlsx", "A 70912-2018")</f>
        <v/>
      </c>
      <c r="T181">
        <f>HYPERLINK("https://klasma.github.io/Logging_2085/kartor/A 70912-2018.png", "A 70912-2018")</f>
        <v/>
      </c>
      <c r="V181">
        <f>HYPERLINK("https://klasma.github.io/Logging_2085/klagomål/A 70912-2018.docx", "A 70912-2018")</f>
        <v/>
      </c>
      <c r="W181">
        <f>HYPERLINK("https://klasma.github.io/Logging_2085/klagomålsmail/A 70912-2018.docx", "A 70912-2018")</f>
        <v/>
      </c>
      <c r="X181">
        <f>HYPERLINK("https://klasma.github.io/Logging_2085/tillsyn/A 70912-2018.docx", "A 70912-2018")</f>
        <v/>
      </c>
      <c r="Y181">
        <f>HYPERLINK("https://klasma.github.io/Logging_2085/tillsynsmail/A 70912-2018.docx", "A 70912-2018")</f>
        <v/>
      </c>
    </row>
    <row r="182" ht="15" customHeight="1">
      <c r="A182" t="inlineStr">
        <is>
          <t>A 9781-2019</t>
        </is>
      </c>
      <c r="B182" s="1" t="n">
        <v>43509</v>
      </c>
      <c r="C182" s="1" t="n">
        <v>45210</v>
      </c>
      <c r="D182" t="inlineStr">
        <is>
          <t>DALARNAS LÄN</t>
        </is>
      </c>
      <c r="E182" t="inlineStr">
        <is>
          <t>MALUNG-SÄLEN</t>
        </is>
      </c>
      <c r="G182" t="n">
        <v>6.4</v>
      </c>
      <c r="H182" t="n">
        <v>0</v>
      </c>
      <c r="I182" t="n">
        <v>1</v>
      </c>
      <c r="J182" t="n">
        <v>2</v>
      </c>
      <c r="K182" t="n">
        <v>0</v>
      </c>
      <c r="L182" t="n">
        <v>0</v>
      </c>
      <c r="M182" t="n">
        <v>0</v>
      </c>
      <c r="N182" t="n">
        <v>0</v>
      </c>
      <c r="O182" t="n">
        <v>2</v>
      </c>
      <c r="P182" t="n">
        <v>0</v>
      </c>
      <c r="Q182" t="n">
        <v>3</v>
      </c>
      <c r="R182" s="2" t="inlineStr">
        <is>
          <t>Garnlav
Lunglav
Dropptaggsvamp</t>
        </is>
      </c>
      <c r="S182">
        <f>HYPERLINK("https://klasma.github.io/Logging_2023/artfynd/A 9781-2019.xlsx", "A 9781-2019")</f>
        <v/>
      </c>
      <c r="T182">
        <f>HYPERLINK("https://klasma.github.io/Logging_2023/kartor/A 9781-2019.png", "A 9781-2019")</f>
        <v/>
      </c>
      <c r="V182">
        <f>HYPERLINK("https://klasma.github.io/Logging_2023/klagomål/A 9781-2019.docx", "A 9781-2019")</f>
        <v/>
      </c>
      <c r="W182">
        <f>HYPERLINK("https://klasma.github.io/Logging_2023/klagomålsmail/A 9781-2019.docx", "A 9781-2019")</f>
        <v/>
      </c>
      <c r="X182">
        <f>HYPERLINK("https://klasma.github.io/Logging_2023/tillsyn/A 9781-2019.docx", "A 9781-2019")</f>
        <v/>
      </c>
      <c r="Y182">
        <f>HYPERLINK("https://klasma.github.io/Logging_2023/tillsynsmail/A 9781-2019.docx", "A 9781-2019")</f>
        <v/>
      </c>
    </row>
    <row r="183" ht="15" customHeight="1">
      <c r="A183" t="inlineStr">
        <is>
          <t>A 10212-2019</t>
        </is>
      </c>
      <c r="B183" s="1" t="n">
        <v>43510</v>
      </c>
      <c r="C183" s="1" t="n">
        <v>45210</v>
      </c>
      <c r="D183" t="inlineStr">
        <is>
          <t>DALARNAS LÄN</t>
        </is>
      </c>
      <c r="E183" t="inlineStr">
        <is>
          <t>LUDVIKA</t>
        </is>
      </c>
      <c r="G183" t="n">
        <v>18.9</v>
      </c>
      <c r="H183" t="n">
        <v>1</v>
      </c>
      <c r="I183" t="n">
        <v>1</v>
      </c>
      <c r="J183" t="n">
        <v>1</v>
      </c>
      <c r="K183" t="n">
        <v>1</v>
      </c>
      <c r="L183" t="n">
        <v>0</v>
      </c>
      <c r="M183" t="n">
        <v>0</v>
      </c>
      <c r="N183" t="n">
        <v>0</v>
      </c>
      <c r="O183" t="n">
        <v>2</v>
      </c>
      <c r="P183" t="n">
        <v>1</v>
      </c>
      <c r="Q183" t="n">
        <v>3</v>
      </c>
      <c r="R183" s="2" t="inlineStr">
        <is>
          <t>Knärot
Dofttaggsvamp
Nästlav</t>
        </is>
      </c>
      <c r="S183">
        <f>HYPERLINK("https://klasma.github.io/Logging_2085/artfynd/A 10212-2019.xlsx", "A 10212-2019")</f>
        <v/>
      </c>
      <c r="T183">
        <f>HYPERLINK("https://klasma.github.io/Logging_2085/kartor/A 10212-2019.png", "A 10212-2019")</f>
        <v/>
      </c>
      <c r="U183">
        <f>HYPERLINK("https://klasma.github.io/Logging_2085/knärot/A 10212-2019.png", "A 10212-2019")</f>
        <v/>
      </c>
      <c r="V183">
        <f>HYPERLINK("https://klasma.github.io/Logging_2085/klagomål/A 10212-2019.docx", "A 10212-2019")</f>
        <v/>
      </c>
      <c r="W183">
        <f>HYPERLINK("https://klasma.github.io/Logging_2085/klagomålsmail/A 10212-2019.docx", "A 10212-2019")</f>
        <v/>
      </c>
      <c r="X183">
        <f>HYPERLINK("https://klasma.github.io/Logging_2085/tillsyn/A 10212-2019.docx", "A 10212-2019")</f>
        <v/>
      </c>
      <c r="Y183">
        <f>HYPERLINK("https://klasma.github.io/Logging_2085/tillsynsmail/A 10212-2019.docx", "A 10212-2019")</f>
        <v/>
      </c>
    </row>
    <row r="184" ht="15" customHeight="1">
      <c r="A184" t="inlineStr">
        <is>
          <t>A 16084-2019</t>
        </is>
      </c>
      <c r="B184" s="1" t="n">
        <v>43544</v>
      </c>
      <c r="C184" s="1" t="n">
        <v>45210</v>
      </c>
      <c r="D184" t="inlineStr">
        <is>
          <t>DALARNAS LÄN</t>
        </is>
      </c>
      <c r="E184" t="inlineStr">
        <is>
          <t>BORLÄNGE</t>
        </is>
      </c>
      <c r="G184" t="n">
        <v>12.7</v>
      </c>
      <c r="H184" t="n">
        <v>0</v>
      </c>
      <c r="I184" t="n">
        <v>0</v>
      </c>
      <c r="J184" t="n">
        <v>3</v>
      </c>
      <c r="K184" t="n">
        <v>0</v>
      </c>
      <c r="L184" t="n">
        <v>0</v>
      </c>
      <c r="M184" t="n">
        <v>0</v>
      </c>
      <c r="N184" t="n">
        <v>0</v>
      </c>
      <c r="O184" t="n">
        <v>3</v>
      </c>
      <c r="P184" t="n">
        <v>0</v>
      </c>
      <c r="Q184" t="n">
        <v>3</v>
      </c>
      <c r="R184" s="2" t="inlineStr">
        <is>
          <t>Garnlav
Grantaggsvamp
Granticka</t>
        </is>
      </c>
      <c r="S184">
        <f>HYPERLINK("https://klasma.github.io/Logging_2081/artfynd/A 16084-2019.xlsx", "A 16084-2019")</f>
        <v/>
      </c>
      <c r="T184">
        <f>HYPERLINK("https://klasma.github.io/Logging_2081/kartor/A 16084-2019.png", "A 16084-2019")</f>
        <v/>
      </c>
      <c r="V184">
        <f>HYPERLINK("https://klasma.github.io/Logging_2081/klagomål/A 16084-2019.docx", "A 16084-2019")</f>
        <v/>
      </c>
      <c r="W184">
        <f>HYPERLINK("https://klasma.github.io/Logging_2081/klagomålsmail/A 16084-2019.docx", "A 16084-2019")</f>
        <v/>
      </c>
      <c r="X184">
        <f>HYPERLINK("https://klasma.github.io/Logging_2081/tillsyn/A 16084-2019.docx", "A 16084-2019")</f>
        <v/>
      </c>
      <c r="Y184">
        <f>HYPERLINK("https://klasma.github.io/Logging_2081/tillsynsmail/A 16084-2019.docx", "A 16084-2019")</f>
        <v/>
      </c>
    </row>
    <row r="185" ht="15" customHeight="1">
      <c r="A185" t="inlineStr">
        <is>
          <t>A 23141-2019</t>
        </is>
      </c>
      <c r="B185" s="1" t="n">
        <v>43591</v>
      </c>
      <c r="C185" s="1" t="n">
        <v>45210</v>
      </c>
      <c r="D185" t="inlineStr">
        <is>
          <t>DALARNAS LÄN</t>
        </is>
      </c>
      <c r="E185" t="inlineStr">
        <is>
          <t>MALUNG-SÄLEN</t>
        </is>
      </c>
      <c r="G185" t="n">
        <v>2.1</v>
      </c>
      <c r="H185" t="n">
        <v>0</v>
      </c>
      <c r="I185" t="n">
        <v>1</v>
      </c>
      <c r="J185" t="n">
        <v>2</v>
      </c>
      <c r="K185" t="n">
        <v>0</v>
      </c>
      <c r="L185" t="n">
        <v>0</v>
      </c>
      <c r="M185" t="n">
        <v>0</v>
      </c>
      <c r="N185" t="n">
        <v>0</v>
      </c>
      <c r="O185" t="n">
        <v>2</v>
      </c>
      <c r="P185" t="n">
        <v>0</v>
      </c>
      <c r="Q185" t="n">
        <v>3</v>
      </c>
      <c r="R185" s="2" t="inlineStr">
        <is>
          <t>Garnlav
Violettgrå tagellav
Kattfotslav</t>
        </is>
      </c>
      <c r="S185">
        <f>HYPERLINK("https://klasma.github.io/Logging_2023/artfynd/A 23141-2019.xlsx", "A 23141-2019")</f>
        <v/>
      </c>
      <c r="T185">
        <f>HYPERLINK("https://klasma.github.io/Logging_2023/kartor/A 23141-2019.png", "A 23141-2019")</f>
        <v/>
      </c>
      <c r="V185">
        <f>HYPERLINK("https://klasma.github.io/Logging_2023/klagomål/A 23141-2019.docx", "A 23141-2019")</f>
        <v/>
      </c>
      <c r="W185">
        <f>HYPERLINK("https://klasma.github.io/Logging_2023/klagomålsmail/A 23141-2019.docx", "A 23141-2019")</f>
        <v/>
      </c>
      <c r="X185">
        <f>HYPERLINK("https://klasma.github.io/Logging_2023/tillsyn/A 23141-2019.docx", "A 23141-2019")</f>
        <v/>
      </c>
      <c r="Y185">
        <f>HYPERLINK("https://klasma.github.io/Logging_2023/tillsynsmail/A 23141-2019.docx", "A 23141-2019")</f>
        <v/>
      </c>
    </row>
    <row r="186" ht="15" customHeight="1">
      <c r="A186" t="inlineStr">
        <is>
          <t>A 26353-2019</t>
        </is>
      </c>
      <c r="B186" s="1" t="n">
        <v>43612</v>
      </c>
      <c r="C186" s="1" t="n">
        <v>45210</v>
      </c>
      <c r="D186" t="inlineStr">
        <is>
          <t>DALARNAS LÄN</t>
        </is>
      </c>
      <c r="E186" t="inlineStr">
        <is>
          <t>FALUN</t>
        </is>
      </c>
      <c r="G186" t="n">
        <v>5.9</v>
      </c>
      <c r="H186" t="n">
        <v>1</v>
      </c>
      <c r="I186" t="n">
        <v>0</v>
      </c>
      <c r="J186" t="n">
        <v>2</v>
      </c>
      <c r="K186" t="n">
        <v>1</v>
      </c>
      <c r="L186" t="n">
        <v>0</v>
      </c>
      <c r="M186" t="n">
        <v>0</v>
      </c>
      <c r="N186" t="n">
        <v>0</v>
      </c>
      <c r="O186" t="n">
        <v>3</v>
      </c>
      <c r="P186" t="n">
        <v>1</v>
      </c>
      <c r="Q186" t="n">
        <v>3</v>
      </c>
      <c r="R186" s="2" t="inlineStr">
        <is>
          <t>Knärot
Garnlav
Kortskaftad ärgspik</t>
        </is>
      </c>
      <c r="S186">
        <f>HYPERLINK("https://klasma.github.io/Logging_2080/artfynd/A 26353-2019.xlsx", "A 26353-2019")</f>
        <v/>
      </c>
      <c r="T186">
        <f>HYPERLINK("https://klasma.github.io/Logging_2080/kartor/A 26353-2019.png", "A 26353-2019")</f>
        <v/>
      </c>
      <c r="U186">
        <f>HYPERLINK("https://klasma.github.io/Logging_2080/knärot/A 26353-2019.png", "A 26353-2019")</f>
        <v/>
      </c>
      <c r="V186">
        <f>HYPERLINK("https://klasma.github.io/Logging_2080/klagomål/A 26353-2019.docx", "A 26353-2019")</f>
        <v/>
      </c>
      <c r="W186">
        <f>HYPERLINK("https://klasma.github.io/Logging_2080/klagomålsmail/A 26353-2019.docx", "A 26353-2019")</f>
        <v/>
      </c>
      <c r="X186">
        <f>HYPERLINK("https://klasma.github.io/Logging_2080/tillsyn/A 26353-2019.docx", "A 26353-2019")</f>
        <v/>
      </c>
      <c r="Y186">
        <f>HYPERLINK("https://klasma.github.io/Logging_2080/tillsynsmail/A 26353-2019.docx", "A 26353-2019")</f>
        <v/>
      </c>
    </row>
    <row r="187" ht="15" customHeight="1">
      <c r="A187" t="inlineStr">
        <is>
          <t>A 29322-2019</t>
        </is>
      </c>
      <c r="B187" s="1" t="n">
        <v>43634</v>
      </c>
      <c r="C187" s="1" t="n">
        <v>45210</v>
      </c>
      <c r="D187" t="inlineStr">
        <is>
          <t>DALARNAS LÄN</t>
        </is>
      </c>
      <c r="E187" t="inlineStr">
        <is>
          <t>RÄTTVIK</t>
        </is>
      </c>
      <c r="G187" t="n">
        <v>11.3</v>
      </c>
      <c r="H187" t="n">
        <v>0</v>
      </c>
      <c r="I187" t="n">
        <v>1</v>
      </c>
      <c r="J187" t="n">
        <v>2</v>
      </c>
      <c r="K187" t="n">
        <v>0</v>
      </c>
      <c r="L187" t="n">
        <v>0</v>
      </c>
      <c r="M187" t="n">
        <v>0</v>
      </c>
      <c r="N187" t="n">
        <v>0</v>
      </c>
      <c r="O187" t="n">
        <v>2</v>
      </c>
      <c r="P187" t="n">
        <v>0</v>
      </c>
      <c r="Q187" t="n">
        <v>3</v>
      </c>
      <c r="R187" s="2" t="inlineStr">
        <is>
          <t>Kolflarnlav
Vedskivlav
Bronshjon</t>
        </is>
      </c>
      <c r="S187">
        <f>HYPERLINK("https://klasma.github.io/Logging_2031/artfynd/A 29322-2019.xlsx", "A 29322-2019")</f>
        <v/>
      </c>
      <c r="T187">
        <f>HYPERLINK("https://klasma.github.io/Logging_2031/kartor/A 29322-2019.png", "A 29322-2019")</f>
        <v/>
      </c>
      <c r="V187">
        <f>HYPERLINK("https://klasma.github.io/Logging_2031/klagomål/A 29322-2019.docx", "A 29322-2019")</f>
        <v/>
      </c>
      <c r="W187">
        <f>HYPERLINK("https://klasma.github.io/Logging_2031/klagomålsmail/A 29322-2019.docx", "A 29322-2019")</f>
        <v/>
      </c>
      <c r="X187">
        <f>HYPERLINK("https://klasma.github.io/Logging_2031/tillsyn/A 29322-2019.docx", "A 29322-2019")</f>
        <v/>
      </c>
      <c r="Y187">
        <f>HYPERLINK("https://klasma.github.io/Logging_2031/tillsynsmail/A 29322-2019.docx", "A 29322-2019")</f>
        <v/>
      </c>
    </row>
    <row r="188" ht="15" customHeight="1">
      <c r="A188" t="inlineStr">
        <is>
          <t>A 35415-2019</t>
        </is>
      </c>
      <c r="B188" s="1" t="n">
        <v>43663</v>
      </c>
      <c r="C188" s="1" t="n">
        <v>45210</v>
      </c>
      <c r="D188" t="inlineStr">
        <is>
          <t>DALARNAS LÄN</t>
        </is>
      </c>
      <c r="E188" t="inlineStr">
        <is>
          <t>RÄTTVIK</t>
        </is>
      </c>
      <c r="F188" t="inlineStr">
        <is>
          <t>Sveaskog</t>
        </is>
      </c>
      <c r="G188" t="n">
        <v>1.4</v>
      </c>
      <c r="H188" t="n">
        <v>0</v>
      </c>
      <c r="I188" t="n">
        <v>1</v>
      </c>
      <c r="J188" t="n">
        <v>2</v>
      </c>
      <c r="K188" t="n">
        <v>0</v>
      </c>
      <c r="L188" t="n">
        <v>0</v>
      </c>
      <c r="M188" t="n">
        <v>0</v>
      </c>
      <c r="N188" t="n">
        <v>0</v>
      </c>
      <c r="O188" t="n">
        <v>2</v>
      </c>
      <c r="P188" t="n">
        <v>0</v>
      </c>
      <c r="Q188" t="n">
        <v>3</v>
      </c>
      <c r="R188" s="2" t="inlineStr">
        <is>
          <t>Motaggsvamp
Skrovlig taggsvamp
Skarp dropptaggsvamp</t>
        </is>
      </c>
      <c r="S188">
        <f>HYPERLINK("https://klasma.github.io/Logging_2031/artfynd/A 35415-2019.xlsx", "A 35415-2019")</f>
        <v/>
      </c>
      <c r="T188">
        <f>HYPERLINK("https://klasma.github.io/Logging_2031/kartor/A 35415-2019.png", "A 35415-2019")</f>
        <v/>
      </c>
      <c r="U188">
        <f>HYPERLINK("https://klasma.github.io/Logging_2031/knärot/A 35415-2019.png", "A 35415-2019")</f>
        <v/>
      </c>
      <c r="V188">
        <f>HYPERLINK("https://klasma.github.io/Logging_2031/klagomål/A 35415-2019.docx", "A 35415-2019")</f>
        <v/>
      </c>
      <c r="W188">
        <f>HYPERLINK("https://klasma.github.io/Logging_2031/klagomålsmail/A 35415-2019.docx", "A 35415-2019")</f>
        <v/>
      </c>
      <c r="X188">
        <f>HYPERLINK("https://klasma.github.io/Logging_2031/tillsyn/A 35415-2019.docx", "A 35415-2019")</f>
        <v/>
      </c>
      <c r="Y188">
        <f>HYPERLINK("https://klasma.github.io/Logging_2031/tillsynsmail/A 35415-2019.docx", "A 35415-2019")</f>
        <v/>
      </c>
    </row>
    <row r="189" ht="15" customHeight="1">
      <c r="A189" t="inlineStr">
        <is>
          <t>A 42208-2019</t>
        </is>
      </c>
      <c r="B189" s="1" t="n">
        <v>43703</v>
      </c>
      <c r="C189" s="1" t="n">
        <v>45210</v>
      </c>
      <c r="D189" t="inlineStr">
        <is>
          <t>DALARNAS LÄN</t>
        </is>
      </c>
      <c r="E189" t="inlineStr">
        <is>
          <t>ÄLVDALEN</t>
        </is>
      </c>
      <c r="G189" t="n">
        <v>21.5</v>
      </c>
      <c r="H189" t="n">
        <v>0</v>
      </c>
      <c r="I189" t="n">
        <v>0</v>
      </c>
      <c r="J189" t="n">
        <v>3</v>
      </c>
      <c r="K189" t="n">
        <v>0</v>
      </c>
      <c r="L189" t="n">
        <v>0</v>
      </c>
      <c r="M189" t="n">
        <v>0</v>
      </c>
      <c r="N189" t="n">
        <v>0</v>
      </c>
      <c r="O189" t="n">
        <v>3</v>
      </c>
      <c r="P189" t="n">
        <v>0</v>
      </c>
      <c r="Q189" t="n">
        <v>3</v>
      </c>
      <c r="R189" s="2" t="inlineStr">
        <is>
          <t>Blanksvart spiklav
Dvärgbägarlav
Vitplätt</t>
        </is>
      </c>
      <c r="S189">
        <f>HYPERLINK("https://klasma.github.io/Logging_2039/artfynd/A 42208-2019.xlsx", "A 42208-2019")</f>
        <v/>
      </c>
      <c r="T189">
        <f>HYPERLINK("https://klasma.github.io/Logging_2039/kartor/A 42208-2019.png", "A 42208-2019")</f>
        <v/>
      </c>
      <c r="V189">
        <f>HYPERLINK("https://klasma.github.io/Logging_2039/klagomål/A 42208-2019.docx", "A 42208-2019")</f>
        <v/>
      </c>
      <c r="W189">
        <f>HYPERLINK("https://klasma.github.io/Logging_2039/klagomålsmail/A 42208-2019.docx", "A 42208-2019")</f>
        <v/>
      </c>
      <c r="X189">
        <f>HYPERLINK("https://klasma.github.io/Logging_2039/tillsyn/A 42208-2019.docx", "A 42208-2019")</f>
        <v/>
      </c>
      <c r="Y189">
        <f>HYPERLINK("https://klasma.github.io/Logging_2039/tillsynsmail/A 42208-2019.docx", "A 42208-2019")</f>
        <v/>
      </c>
    </row>
    <row r="190" ht="15" customHeight="1">
      <c r="A190" t="inlineStr">
        <is>
          <t>A 66569-2019</t>
        </is>
      </c>
      <c r="B190" s="1" t="n">
        <v>43781</v>
      </c>
      <c r="C190" s="1" t="n">
        <v>45210</v>
      </c>
      <c r="D190" t="inlineStr">
        <is>
          <t>DALARNAS LÄN</t>
        </is>
      </c>
      <c r="E190" t="inlineStr">
        <is>
          <t>BORLÄNGE</t>
        </is>
      </c>
      <c r="G190" t="n">
        <v>1</v>
      </c>
      <c r="H190" t="n">
        <v>0</v>
      </c>
      <c r="I190" t="n">
        <v>2</v>
      </c>
      <c r="J190" t="n">
        <v>0</v>
      </c>
      <c r="K190" t="n">
        <v>1</v>
      </c>
      <c r="L190" t="n">
        <v>0</v>
      </c>
      <c r="M190" t="n">
        <v>0</v>
      </c>
      <c r="N190" t="n">
        <v>0</v>
      </c>
      <c r="O190" t="n">
        <v>1</v>
      </c>
      <c r="P190" t="n">
        <v>1</v>
      </c>
      <c r="Q190" t="n">
        <v>3</v>
      </c>
      <c r="R190" s="2" t="inlineStr">
        <is>
          <t>Kopparspindling
Strimspindling
Svavelriska</t>
        </is>
      </c>
      <c r="S190">
        <f>HYPERLINK("https://klasma.github.io/Logging_2081/artfynd/A 66569-2019.xlsx", "A 66569-2019")</f>
        <v/>
      </c>
      <c r="T190">
        <f>HYPERLINK("https://klasma.github.io/Logging_2081/kartor/A 66569-2019.png", "A 66569-2019")</f>
        <v/>
      </c>
      <c r="V190">
        <f>HYPERLINK("https://klasma.github.io/Logging_2081/klagomål/A 66569-2019.docx", "A 66569-2019")</f>
        <v/>
      </c>
      <c r="W190">
        <f>HYPERLINK("https://klasma.github.io/Logging_2081/klagomålsmail/A 66569-2019.docx", "A 66569-2019")</f>
        <v/>
      </c>
      <c r="X190">
        <f>HYPERLINK("https://klasma.github.io/Logging_2081/tillsyn/A 66569-2019.docx", "A 66569-2019")</f>
        <v/>
      </c>
      <c r="Y190">
        <f>HYPERLINK("https://klasma.github.io/Logging_2081/tillsynsmail/A 66569-2019.docx", "A 66569-2019")</f>
        <v/>
      </c>
    </row>
    <row r="191" ht="15" customHeight="1">
      <c r="A191" t="inlineStr">
        <is>
          <t>A 4969-2020</t>
        </is>
      </c>
      <c r="B191" s="1" t="n">
        <v>43859</v>
      </c>
      <c r="C191" s="1" t="n">
        <v>45210</v>
      </c>
      <c r="D191" t="inlineStr">
        <is>
          <t>DALARNAS LÄN</t>
        </is>
      </c>
      <c r="E191" t="inlineStr">
        <is>
          <t>MALUNG-SÄLEN</t>
        </is>
      </c>
      <c r="G191" t="n">
        <v>2.9</v>
      </c>
      <c r="H191" t="n">
        <v>0</v>
      </c>
      <c r="I191" t="n">
        <v>0</v>
      </c>
      <c r="J191" t="n">
        <v>3</v>
      </c>
      <c r="K191" t="n">
        <v>0</v>
      </c>
      <c r="L191" t="n">
        <v>0</v>
      </c>
      <c r="M191" t="n">
        <v>0</v>
      </c>
      <c r="N191" t="n">
        <v>0</v>
      </c>
      <c r="O191" t="n">
        <v>3</v>
      </c>
      <c r="P191" t="n">
        <v>0</v>
      </c>
      <c r="Q191" t="n">
        <v>3</v>
      </c>
      <c r="R191" s="2" t="inlineStr">
        <is>
          <t>Gammelgransskål
Garnlav
Violettgrå tagellav</t>
        </is>
      </c>
      <c r="S191">
        <f>HYPERLINK("https://klasma.github.io/Logging_2023/artfynd/A 4969-2020.xlsx", "A 4969-2020")</f>
        <v/>
      </c>
      <c r="T191">
        <f>HYPERLINK("https://klasma.github.io/Logging_2023/kartor/A 4969-2020.png", "A 4969-2020")</f>
        <v/>
      </c>
      <c r="V191">
        <f>HYPERLINK("https://klasma.github.io/Logging_2023/klagomål/A 4969-2020.docx", "A 4969-2020")</f>
        <v/>
      </c>
      <c r="W191">
        <f>HYPERLINK("https://klasma.github.io/Logging_2023/klagomålsmail/A 4969-2020.docx", "A 4969-2020")</f>
        <v/>
      </c>
      <c r="X191">
        <f>HYPERLINK("https://klasma.github.io/Logging_2023/tillsyn/A 4969-2020.docx", "A 4969-2020")</f>
        <v/>
      </c>
      <c r="Y191">
        <f>HYPERLINK("https://klasma.github.io/Logging_2023/tillsynsmail/A 4969-2020.docx", "A 4969-2020")</f>
        <v/>
      </c>
    </row>
    <row r="192" ht="15" customHeight="1">
      <c r="A192" t="inlineStr">
        <is>
          <t>A 18380-2020</t>
        </is>
      </c>
      <c r="B192" s="1" t="n">
        <v>43928</v>
      </c>
      <c r="C192" s="1" t="n">
        <v>45210</v>
      </c>
      <c r="D192" t="inlineStr">
        <is>
          <t>DALARNAS LÄN</t>
        </is>
      </c>
      <c r="E192" t="inlineStr">
        <is>
          <t>MORA</t>
        </is>
      </c>
      <c r="G192" t="n">
        <v>5.8</v>
      </c>
      <c r="H192" t="n">
        <v>1</v>
      </c>
      <c r="I192" t="n">
        <v>0</v>
      </c>
      <c r="J192" t="n">
        <v>3</v>
      </c>
      <c r="K192" t="n">
        <v>0</v>
      </c>
      <c r="L192" t="n">
        <v>0</v>
      </c>
      <c r="M192" t="n">
        <v>0</v>
      </c>
      <c r="N192" t="n">
        <v>0</v>
      </c>
      <c r="O192" t="n">
        <v>3</v>
      </c>
      <c r="P192" t="n">
        <v>0</v>
      </c>
      <c r="Q192" t="n">
        <v>3</v>
      </c>
      <c r="R192" s="2" t="inlineStr">
        <is>
          <t>Garnlav
Kolflarnlav
Tretåig hackspett</t>
        </is>
      </c>
      <c r="S192">
        <f>HYPERLINK("https://klasma.github.io/Logging_2062/artfynd/A 18380-2020.xlsx", "A 18380-2020")</f>
        <v/>
      </c>
      <c r="T192">
        <f>HYPERLINK("https://klasma.github.io/Logging_2062/kartor/A 18380-2020.png", "A 18380-2020")</f>
        <v/>
      </c>
      <c r="V192">
        <f>HYPERLINK("https://klasma.github.io/Logging_2062/klagomål/A 18380-2020.docx", "A 18380-2020")</f>
        <v/>
      </c>
      <c r="W192">
        <f>HYPERLINK("https://klasma.github.io/Logging_2062/klagomålsmail/A 18380-2020.docx", "A 18380-2020")</f>
        <v/>
      </c>
      <c r="X192">
        <f>HYPERLINK("https://klasma.github.io/Logging_2062/tillsyn/A 18380-2020.docx", "A 18380-2020")</f>
        <v/>
      </c>
      <c r="Y192">
        <f>HYPERLINK("https://klasma.github.io/Logging_2062/tillsynsmail/A 18380-2020.docx", "A 18380-2020")</f>
        <v/>
      </c>
    </row>
    <row r="193" ht="15" customHeight="1">
      <c r="A193" t="inlineStr">
        <is>
          <t>A 29285-2020</t>
        </is>
      </c>
      <c r="B193" s="1" t="n">
        <v>44000</v>
      </c>
      <c r="C193" s="1" t="n">
        <v>45210</v>
      </c>
      <c r="D193" t="inlineStr">
        <is>
          <t>DALARNAS LÄN</t>
        </is>
      </c>
      <c r="E193" t="inlineStr">
        <is>
          <t>LUDVIKA</t>
        </is>
      </c>
      <c r="G193" t="n">
        <v>2.5</v>
      </c>
      <c r="H193" t="n">
        <v>0</v>
      </c>
      <c r="I193" t="n">
        <v>1</v>
      </c>
      <c r="J193" t="n">
        <v>2</v>
      </c>
      <c r="K193" t="n">
        <v>0</v>
      </c>
      <c r="L193" t="n">
        <v>0</v>
      </c>
      <c r="M193" t="n">
        <v>0</v>
      </c>
      <c r="N193" t="n">
        <v>0</v>
      </c>
      <c r="O193" t="n">
        <v>2</v>
      </c>
      <c r="P193" t="n">
        <v>0</v>
      </c>
      <c r="Q193" t="n">
        <v>3</v>
      </c>
      <c r="R193" s="2" t="inlineStr">
        <is>
          <t>Violettgrå tagellav
Vitgrynig nållav
Nästlav</t>
        </is>
      </c>
      <c r="S193">
        <f>HYPERLINK("https://klasma.github.io/Logging_2085/artfynd/A 29285-2020.xlsx", "A 29285-2020")</f>
        <v/>
      </c>
      <c r="T193">
        <f>HYPERLINK("https://klasma.github.io/Logging_2085/kartor/A 29285-2020.png", "A 29285-2020")</f>
        <v/>
      </c>
      <c r="V193">
        <f>HYPERLINK("https://klasma.github.io/Logging_2085/klagomål/A 29285-2020.docx", "A 29285-2020")</f>
        <v/>
      </c>
      <c r="W193">
        <f>HYPERLINK("https://klasma.github.io/Logging_2085/klagomålsmail/A 29285-2020.docx", "A 29285-2020")</f>
        <v/>
      </c>
      <c r="X193">
        <f>HYPERLINK("https://klasma.github.io/Logging_2085/tillsyn/A 29285-2020.docx", "A 29285-2020")</f>
        <v/>
      </c>
      <c r="Y193">
        <f>HYPERLINK("https://klasma.github.io/Logging_2085/tillsynsmail/A 29285-2020.docx", "A 29285-2020")</f>
        <v/>
      </c>
    </row>
    <row r="194" ht="15" customHeight="1">
      <c r="A194" t="inlineStr">
        <is>
          <t>A 40241-2020</t>
        </is>
      </c>
      <c r="B194" s="1" t="n">
        <v>44068</v>
      </c>
      <c r="C194" s="1" t="n">
        <v>45210</v>
      </c>
      <c r="D194" t="inlineStr">
        <is>
          <t>DALARNAS LÄN</t>
        </is>
      </c>
      <c r="E194" t="inlineStr">
        <is>
          <t>FALUN</t>
        </is>
      </c>
      <c r="F194" t="inlineStr">
        <is>
          <t>Bergvik skog väst AB</t>
        </is>
      </c>
      <c r="G194" t="n">
        <v>6.3</v>
      </c>
      <c r="H194" t="n">
        <v>1</v>
      </c>
      <c r="I194" t="n">
        <v>0</v>
      </c>
      <c r="J194" t="n">
        <v>3</v>
      </c>
      <c r="K194" t="n">
        <v>0</v>
      </c>
      <c r="L194" t="n">
        <v>0</v>
      </c>
      <c r="M194" t="n">
        <v>0</v>
      </c>
      <c r="N194" t="n">
        <v>0</v>
      </c>
      <c r="O194" t="n">
        <v>3</v>
      </c>
      <c r="P194" t="n">
        <v>0</v>
      </c>
      <c r="Q194" t="n">
        <v>3</v>
      </c>
      <c r="R194" s="2" t="inlineStr">
        <is>
          <t>Kortskaftad ärgspik
Varglav
Vedskivlav</t>
        </is>
      </c>
      <c r="S194">
        <f>HYPERLINK("https://klasma.github.io/Logging_2080/artfynd/A 40241-2020.xlsx", "A 40241-2020")</f>
        <v/>
      </c>
      <c r="T194">
        <f>HYPERLINK("https://klasma.github.io/Logging_2080/kartor/A 40241-2020.png", "A 40241-2020")</f>
        <v/>
      </c>
      <c r="V194">
        <f>HYPERLINK("https://klasma.github.io/Logging_2080/klagomål/A 40241-2020.docx", "A 40241-2020")</f>
        <v/>
      </c>
      <c r="W194">
        <f>HYPERLINK("https://klasma.github.io/Logging_2080/klagomålsmail/A 40241-2020.docx", "A 40241-2020")</f>
        <v/>
      </c>
      <c r="X194">
        <f>HYPERLINK("https://klasma.github.io/Logging_2080/tillsyn/A 40241-2020.docx", "A 40241-2020")</f>
        <v/>
      </c>
      <c r="Y194">
        <f>HYPERLINK("https://klasma.github.io/Logging_2080/tillsynsmail/A 40241-2020.docx", "A 40241-2020")</f>
        <v/>
      </c>
    </row>
    <row r="195" ht="15" customHeight="1">
      <c r="A195" t="inlineStr">
        <is>
          <t>A 42651-2020</t>
        </is>
      </c>
      <c r="B195" s="1" t="n">
        <v>44077</v>
      </c>
      <c r="C195" s="1" t="n">
        <v>45210</v>
      </c>
      <c r="D195" t="inlineStr">
        <is>
          <t>DALARNAS LÄN</t>
        </is>
      </c>
      <c r="E195" t="inlineStr">
        <is>
          <t>ORSA</t>
        </is>
      </c>
      <c r="G195" t="n">
        <v>3.9</v>
      </c>
      <c r="H195" t="n">
        <v>0</v>
      </c>
      <c r="I195" t="n">
        <v>0</v>
      </c>
      <c r="J195" t="n">
        <v>3</v>
      </c>
      <c r="K195" t="n">
        <v>0</v>
      </c>
      <c r="L195" t="n">
        <v>0</v>
      </c>
      <c r="M195" t="n">
        <v>0</v>
      </c>
      <c r="N195" t="n">
        <v>0</v>
      </c>
      <c r="O195" t="n">
        <v>3</v>
      </c>
      <c r="P195" t="n">
        <v>0</v>
      </c>
      <c r="Q195" t="n">
        <v>3</v>
      </c>
      <c r="R195" s="2" t="inlineStr">
        <is>
          <t>Skrovellav
Tallticka
Vedflamlav</t>
        </is>
      </c>
      <c r="S195">
        <f>HYPERLINK("https://klasma.github.io/Logging_2034/artfynd/A 42651-2020.xlsx", "A 42651-2020")</f>
        <v/>
      </c>
      <c r="T195">
        <f>HYPERLINK("https://klasma.github.io/Logging_2034/kartor/A 42651-2020.png", "A 42651-2020")</f>
        <v/>
      </c>
      <c r="V195">
        <f>HYPERLINK("https://klasma.github.io/Logging_2034/klagomål/A 42651-2020.docx", "A 42651-2020")</f>
        <v/>
      </c>
      <c r="W195">
        <f>HYPERLINK("https://klasma.github.io/Logging_2034/klagomålsmail/A 42651-2020.docx", "A 42651-2020")</f>
        <v/>
      </c>
      <c r="X195">
        <f>HYPERLINK("https://klasma.github.io/Logging_2034/tillsyn/A 42651-2020.docx", "A 42651-2020")</f>
        <v/>
      </c>
      <c r="Y195">
        <f>HYPERLINK("https://klasma.github.io/Logging_2034/tillsynsmail/A 42651-2020.docx", "A 42651-2020")</f>
        <v/>
      </c>
    </row>
    <row r="196" ht="15" customHeight="1">
      <c r="A196" t="inlineStr">
        <is>
          <t>A 49272-2020</t>
        </is>
      </c>
      <c r="B196" s="1" t="n">
        <v>44105</v>
      </c>
      <c r="C196" s="1" t="n">
        <v>45210</v>
      </c>
      <c r="D196" t="inlineStr">
        <is>
          <t>DALARNAS LÄN</t>
        </is>
      </c>
      <c r="E196" t="inlineStr">
        <is>
          <t>HEDEMORA</t>
        </is>
      </c>
      <c r="F196" t="inlineStr">
        <is>
          <t>Sveaskog</t>
        </is>
      </c>
      <c r="G196" t="n">
        <v>2.5</v>
      </c>
      <c r="H196" t="n">
        <v>2</v>
      </c>
      <c r="I196" t="n">
        <v>0</v>
      </c>
      <c r="J196" t="n">
        <v>2</v>
      </c>
      <c r="K196" t="n">
        <v>1</v>
      </c>
      <c r="L196" t="n">
        <v>0</v>
      </c>
      <c r="M196" t="n">
        <v>0</v>
      </c>
      <c r="N196" t="n">
        <v>0</v>
      </c>
      <c r="O196" t="n">
        <v>3</v>
      </c>
      <c r="P196" t="n">
        <v>1</v>
      </c>
      <c r="Q196" t="n">
        <v>3</v>
      </c>
      <c r="R196" s="2" t="inlineStr">
        <is>
          <t>Knärot
Spillkråka
Tallticka</t>
        </is>
      </c>
      <c r="S196">
        <f>HYPERLINK("https://klasma.github.io/Logging_2083/artfynd/A 49272-2020.xlsx", "A 49272-2020")</f>
        <v/>
      </c>
      <c r="T196">
        <f>HYPERLINK("https://klasma.github.io/Logging_2083/kartor/A 49272-2020.png", "A 49272-2020")</f>
        <v/>
      </c>
      <c r="U196">
        <f>HYPERLINK("https://klasma.github.io/Logging_2083/knärot/A 49272-2020.png", "A 49272-2020")</f>
        <v/>
      </c>
      <c r="V196">
        <f>HYPERLINK("https://klasma.github.io/Logging_2083/klagomål/A 49272-2020.docx", "A 49272-2020")</f>
        <v/>
      </c>
      <c r="W196">
        <f>HYPERLINK("https://klasma.github.io/Logging_2083/klagomålsmail/A 49272-2020.docx", "A 49272-2020")</f>
        <v/>
      </c>
      <c r="X196">
        <f>HYPERLINK("https://klasma.github.io/Logging_2083/tillsyn/A 49272-2020.docx", "A 49272-2020")</f>
        <v/>
      </c>
      <c r="Y196">
        <f>HYPERLINK("https://klasma.github.io/Logging_2083/tillsynsmail/A 49272-2020.docx", "A 49272-2020")</f>
        <v/>
      </c>
    </row>
    <row r="197" ht="15" customHeight="1">
      <c r="A197" t="inlineStr">
        <is>
          <t>A 51999-2020</t>
        </is>
      </c>
      <c r="B197" s="1" t="n">
        <v>44110</v>
      </c>
      <c r="C197" s="1" t="n">
        <v>45210</v>
      </c>
      <c r="D197" t="inlineStr">
        <is>
          <t>DALARNAS LÄN</t>
        </is>
      </c>
      <c r="E197" t="inlineStr">
        <is>
          <t>FALUN</t>
        </is>
      </c>
      <c r="G197" t="n">
        <v>4.3</v>
      </c>
      <c r="H197" t="n">
        <v>0</v>
      </c>
      <c r="I197" t="n">
        <v>1</v>
      </c>
      <c r="J197" t="n">
        <v>1</v>
      </c>
      <c r="K197" t="n">
        <v>1</v>
      </c>
      <c r="L197" t="n">
        <v>0</v>
      </c>
      <c r="M197" t="n">
        <v>0</v>
      </c>
      <c r="N197" t="n">
        <v>0</v>
      </c>
      <c r="O197" t="n">
        <v>2</v>
      </c>
      <c r="P197" t="n">
        <v>1</v>
      </c>
      <c r="Q197" t="n">
        <v>3</v>
      </c>
      <c r="R197" s="2" t="inlineStr">
        <is>
          <t>Goliatmusseron
Blå taggsvamp
Mindre märgborre</t>
        </is>
      </c>
      <c r="S197">
        <f>HYPERLINK("https://klasma.github.io/Logging_2080/artfynd/A 51999-2020.xlsx", "A 51999-2020")</f>
        <v/>
      </c>
      <c r="T197">
        <f>HYPERLINK("https://klasma.github.io/Logging_2080/kartor/A 51999-2020.png", "A 51999-2020")</f>
        <v/>
      </c>
      <c r="V197">
        <f>HYPERLINK("https://klasma.github.io/Logging_2080/klagomål/A 51999-2020.docx", "A 51999-2020")</f>
        <v/>
      </c>
      <c r="W197">
        <f>HYPERLINK("https://klasma.github.io/Logging_2080/klagomålsmail/A 51999-2020.docx", "A 51999-2020")</f>
        <v/>
      </c>
      <c r="X197">
        <f>HYPERLINK("https://klasma.github.io/Logging_2080/tillsyn/A 51999-2020.docx", "A 51999-2020")</f>
        <v/>
      </c>
      <c r="Y197">
        <f>HYPERLINK("https://klasma.github.io/Logging_2080/tillsynsmail/A 51999-2020.docx", "A 51999-2020")</f>
        <v/>
      </c>
    </row>
    <row r="198" ht="15" customHeight="1">
      <c r="A198" t="inlineStr">
        <is>
          <t>A 55022-2020</t>
        </is>
      </c>
      <c r="B198" s="1" t="n">
        <v>44130</v>
      </c>
      <c r="C198" s="1" t="n">
        <v>45210</v>
      </c>
      <c r="D198" t="inlineStr">
        <is>
          <t>DALARNAS LÄN</t>
        </is>
      </c>
      <c r="E198" t="inlineStr">
        <is>
          <t>HEDEMORA</t>
        </is>
      </c>
      <c r="F198" t="inlineStr">
        <is>
          <t>Sveaskog</t>
        </is>
      </c>
      <c r="G198" t="n">
        <v>3.2</v>
      </c>
      <c r="H198" t="n">
        <v>1</v>
      </c>
      <c r="I198" t="n">
        <v>0</v>
      </c>
      <c r="J198" t="n">
        <v>2</v>
      </c>
      <c r="K198" t="n">
        <v>1</v>
      </c>
      <c r="L198" t="n">
        <v>0</v>
      </c>
      <c r="M198" t="n">
        <v>0</v>
      </c>
      <c r="N198" t="n">
        <v>0</v>
      </c>
      <c r="O198" t="n">
        <v>3</v>
      </c>
      <c r="P198" t="n">
        <v>1</v>
      </c>
      <c r="Q198" t="n">
        <v>3</v>
      </c>
      <c r="R198" s="2" t="inlineStr">
        <is>
          <t>Knärot
Garnlav
Ullticka</t>
        </is>
      </c>
      <c r="S198">
        <f>HYPERLINK("https://klasma.github.io/Logging_2083/artfynd/A 55022-2020.xlsx", "A 55022-2020")</f>
        <v/>
      </c>
      <c r="T198">
        <f>HYPERLINK("https://klasma.github.io/Logging_2083/kartor/A 55022-2020.png", "A 55022-2020")</f>
        <v/>
      </c>
      <c r="U198">
        <f>HYPERLINK("https://klasma.github.io/Logging_2083/knärot/A 55022-2020.png", "A 55022-2020")</f>
        <v/>
      </c>
      <c r="V198">
        <f>HYPERLINK("https://klasma.github.io/Logging_2083/klagomål/A 55022-2020.docx", "A 55022-2020")</f>
        <v/>
      </c>
      <c r="W198">
        <f>HYPERLINK("https://klasma.github.io/Logging_2083/klagomålsmail/A 55022-2020.docx", "A 55022-2020")</f>
        <v/>
      </c>
      <c r="X198">
        <f>HYPERLINK("https://klasma.github.io/Logging_2083/tillsyn/A 55022-2020.docx", "A 55022-2020")</f>
        <v/>
      </c>
      <c r="Y198">
        <f>HYPERLINK("https://klasma.github.io/Logging_2083/tillsynsmail/A 55022-2020.docx", "A 55022-2020")</f>
        <v/>
      </c>
    </row>
    <row r="199" ht="15" customHeight="1">
      <c r="A199" t="inlineStr">
        <is>
          <t>A 59449-2020</t>
        </is>
      </c>
      <c r="B199" s="1" t="n">
        <v>44148</v>
      </c>
      <c r="C199" s="1" t="n">
        <v>45210</v>
      </c>
      <c r="D199" t="inlineStr">
        <is>
          <t>DALARNAS LÄN</t>
        </is>
      </c>
      <c r="E199" t="inlineStr">
        <is>
          <t>RÄTTVIK</t>
        </is>
      </c>
      <c r="G199" t="n">
        <v>1</v>
      </c>
      <c r="H199" t="n">
        <v>0</v>
      </c>
      <c r="I199" t="n">
        <v>0</v>
      </c>
      <c r="J199" t="n">
        <v>2</v>
      </c>
      <c r="K199" t="n">
        <v>1</v>
      </c>
      <c r="L199" t="n">
        <v>0</v>
      </c>
      <c r="M199" t="n">
        <v>0</v>
      </c>
      <c r="N199" t="n">
        <v>0</v>
      </c>
      <c r="O199" t="n">
        <v>3</v>
      </c>
      <c r="P199" t="n">
        <v>1</v>
      </c>
      <c r="Q199" t="n">
        <v>3</v>
      </c>
      <c r="R199" s="2" t="inlineStr">
        <is>
          <t>Rynkskinn
Rosenticka
Ullticka</t>
        </is>
      </c>
      <c r="S199">
        <f>HYPERLINK("https://klasma.github.io/Logging_2031/artfynd/A 59449-2020.xlsx", "A 59449-2020")</f>
        <v/>
      </c>
      <c r="T199">
        <f>HYPERLINK("https://klasma.github.io/Logging_2031/kartor/A 59449-2020.png", "A 59449-2020")</f>
        <v/>
      </c>
      <c r="V199">
        <f>HYPERLINK("https://klasma.github.io/Logging_2031/klagomål/A 59449-2020.docx", "A 59449-2020")</f>
        <v/>
      </c>
      <c r="W199">
        <f>HYPERLINK("https://klasma.github.io/Logging_2031/klagomålsmail/A 59449-2020.docx", "A 59449-2020")</f>
        <v/>
      </c>
      <c r="X199">
        <f>HYPERLINK("https://klasma.github.io/Logging_2031/tillsyn/A 59449-2020.docx", "A 59449-2020")</f>
        <v/>
      </c>
      <c r="Y199">
        <f>HYPERLINK("https://klasma.github.io/Logging_2031/tillsynsmail/A 59449-2020.docx", "A 59449-2020")</f>
        <v/>
      </c>
    </row>
    <row r="200" ht="15" customHeight="1">
      <c r="A200" t="inlineStr">
        <is>
          <t>A 69138-2020</t>
        </is>
      </c>
      <c r="B200" s="1" t="n">
        <v>44188</v>
      </c>
      <c r="C200" s="1" t="n">
        <v>45210</v>
      </c>
      <c r="D200" t="inlineStr">
        <is>
          <t>DALARNAS LÄN</t>
        </is>
      </c>
      <c r="E200" t="inlineStr">
        <is>
          <t>LUDVIKA</t>
        </is>
      </c>
      <c r="G200" t="n">
        <v>6.7</v>
      </c>
      <c r="H200" t="n">
        <v>0</v>
      </c>
      <c r="I200" t="n">
        <v>3</v>
      </c>
      <c r="J200" t="n">
        <v>0</v>
      </c>
      <c r="K200" t="n">
        <v>0</v>
      </c>
      <c r="L200" t="n">
        <v>0</v>
      </c>
      <c r="M200" t="n">
        <v>0</v>
      </c>
      <c r="N200" t="n">
        <v>0</v>
      </c>
      <c r="O200" t="n">
        <v>0</v>
      </c>
      <c r="P200" t="n">
        <v>0</v>
      </c>
      <c r="Q200" t="n">
        <v>3</v>
      </c>
      <c r="R200" s="2" t="inlineStr">
        <is>
          <t>Rödgul trumpetsvamp
Svavelriska
Tibast</t>
        </is>
      </c>
      <c r="S200">
        <f>HYPERLINK("https://klasma.github.io/Logging_2085/artfynd/A 69138-2020.xlsx", "A 69138-2020")</f>
        <v/>
      </c>
      <c r="T200">
        <f>HYPERLINK("https://klasma.github.io/Logging_2085/kartor/A 69138-2020.png", "A 69138-2020")</f>
        <v/>
      </c>
      <c r="V200">
        <f>HYPERLINK("https://klasma.github.io/Logging_2085/klagomål/A 69138-2020.docx", "A 69138-2020")</f>
        <v/>
      </c>
      <c r="W200">
        <f>HYPERLINK("https://klasma.github.io/Logging_2085/klagomålsmail/A 69138-2020.docx", "A 69138-2020")</f>
        <v/>
      </c>
      <c r="X200">
        <f>HYPERLINK("https://klasma.github.io/Logging_2085/tillsyn/A 69138-2020.docx", "A 69138-2020")</f>
        <v/>
      </c>
      <c r="Y200">
        <f>HYPERLINK("https://klasma.github.io/Logging_2085/tillsynsmail/A 69138-2020.docx", "A 69138-2020")</f>
        <v/>
      </c>
    </row>
    <row r="201" ht="15" customHeight="1">
      <c r="A201" t="inlineStr">
        <is>
          <t>A 29213-2021</t>
        </is>
      </c>
      <c r="B201" s="1" t="n">
        <v>44359</v>
      </c>
      <c r="C201" s="1" t="n">
        <v>45210</v>
      </c>
      <c r="D201" t="inlineStr">
        <is>
          <t>DALARNAS LÄN</t>
        </is>
      </c>
      <c r="E201" t="inlineStr">
        <is>
          <t>HEDEMORA</t>
        </is>
      </c>
      <c r="F201" t="inlineStr">
        <is>
          <t>Sveaskog</t>
        </is>
      </c>
      <c r="G201" t="n">
        <v>1.1</v>
      </c>
      <c r="H201" t="n">
        <v>1</v>
      </c>
      <c r="I201" t="n">
        <v>2</v>
      </c>
      <c r="J201" t="n">
        <v>0</v>
      </c>
      <c r="K201" t="n">
        <v>1</v>
      </c>
      <c r="L201" t="n">
        <v>0</v>
      </c>
      <c r="M201" t="n">
        <v>0</v>
      </c>
      <c r="N201" t="n">
        <v>0</v>
      </c>
      <c r="O201" t="n">
        <v>1</v>
      </c>
      <c r="P201" t="n">
        <v>1</v>
      </c>
      <c r="Q201" t="n">
        <v>3</v>
      </c>
      <c r="R201" s="2" t="inlineStr">
        <is>
          <t>Knärot
Bronshjon
Underviol</t>
        </is>
      </c>
      <c r="S201">
        <f>HYPERLINK("https://klasma.github.io/Logging_2083/artfynd/A 29213-2021.xlsx", "A 29213-2021")</f>
        <v/>
      </c>
      <c r="T201">
        <f>HYPERLINK("https://klasma.github.io/Logging_2083/kartor/A 29213-2021.png", "A 29213-2021")</f>
        <v/>
      </c>
      <c r="U201">
        <f>HYPERLINK("https://klasma.github.io/Logging_2083/knärot/A 29213-2021.png", "A 29213-2021")</f>
        <v/>
      </c>
      <c r="V201">
        <f>HYPERLINK("https://klasma.github.io/Logging_2083/klagomål/A 29213-2021.docx", "A 29213-2021")</f>
        <v/>
      </c>
      <c r="W201">
        <f>HYPERLINK("https://klasma.github.io/Logging_2083/klagomålsmail/A 29213-2021.docx", "A 29213-2021")</f>
        <v/>
      </c>
      <c r="X201">
        <f>HYPERLINK("https://klasma.github.io/Logging_2083/tillsyn/A 29213-2021.docx", "A 29213-2021")</f>
        <v/>
      </c>
      <c r="Y201">
        <f>HYPERLINK("https://klasma.github.io/Logging_2083/tillsynsmail/A 29213-2021.docx", "A 29213-2021")</f>
        <v/>
      </c>
    </row>
    <row r="202" ht="15" customHeight="1">
      <c r="A202" t="inlineStr">
        <is>
          <t>A 31917-2021</t>
        </is>
      </c>
      <c r="B202" s="1" t="n">
        <v>44370</v>
      </c>
      <c r="C202" s="1" t="n">
        <v>45210</v>
      </c>
      <c r="D202" t="inlineStr">
        <is>
          <t>DALARNAS LÄN</t>
        </is>
      </c>
      <c r="E202" t="inlineStr">
        <is>
          <t>VANSBRO</t>
        </is>
      </c>
      <c r="G202" t="n">
        <v>7.6</v>
      </c>
      <c r="H202" t="n">
        <v>0</v>
      </c>
      <c r="I202" t="n">
        <v>2</v>
      </c>
      <c r="J202" t="n">
        <v>1</v>
      </c>
      <c r="K202" t="n">
        <v>0</v>
      </c>
      <c r="L202" t="n">
        <v>0</v>
      </c>
      <c r="M202" t="n">
        <v>0</v>
      </c>
      <c r="N202" t="n">
        <v>0</v>
      </c>
      <c r="O202" t="n">
        <v>1</v>
      </c>
      <c r="P202" t="n">
        <v>0</v>
      </c>
      <c r="Q202" t="n">
        <v>3</v>
      </c>
      <c r="R202" s="2" t="inlineStr">
        <is>
          <t>Garnlav
Dropptaggsvamp
Mindre märgborre</t>
        </is>
      </c>
      <c r="S202">
        <f>HYPERLINK("https://klasma.github.io/Logging_2021/artfynd/A 31917-2021.xlsx", "A 31917-2021")</f>
        <v/>
      </c>
      <c r="T202">
        <f>HYPERLINK("https://klasma.github.io/Logging_2021/kartor/A 31917-2021.png", "A 31917-2021")</f>
        <v/>
      </c>
      <c r="V202">
        <f>HYPERLINK("https://klasma.github.io/Logging_2021/klagomål/A 31917-2021.docx", "A 31917-2021")</f>
        <v/>
      </c>
      <c r="W202">
        <f>HYPERLINK("https://klasma.github.io/Logging_2021/klagomålsmail/A 31917-2021.docx", "A 31917-2021")</f>
        <v/>
      </c>
      <c r="X202">
        <f>HYPERLINK("https://klasma.github.io/Logging_2021/tillsyn/A 31917-2021.docx", "A 31917-2021")</f>
        <v/>
      </c>
      <c r="Y202">
        <f>HYPERLINK("https://klasma.github.io/Logging_2021/tillsynsmail/A 31917-2021.docx", "A 31917-2021")</f>
        <v/>
      </c>
    </row>
    <row r="203" ht="15" customHeight="1">
      <c r="A203" t="inlineStr">
        <is>
          <t>A 33582-2021</t>
        </is>
      </c>
      <c r="B203" s="1" t="n">
        <v>44377</v>
      </c>
      <c r="C203" s="1" t="n">
        <v>45210</v>
      </c>
      <c r="D203" t="inlineStr">
        <is>
          <t>DALARNAS LÄN</t>
        </is>
      </c>
      <c r="E203" t="inlineStr">
        <is>
          <t>ÄLVDALEN</t>
        </is>
      </c>
      <c r="F203" t="inlineStr">
        <is>
          <t>Sveaskog</t>
        </is>
      </c>
      <c r="G203" t="n">
        <v>9.199999999999999</v>
      </c>
      <c r="H203" t="n">
        <v>0</v>
      </c>
      <c r="I203" t="n">
        <v>1</v>
      </c>
      <c r="J203" t="n">
        <v>2</v>
      </c>
      <c r="K203" t="n">
        <v>0</v>
      </c>
      <c r="L203" t="n">
        <v>0</v>
      </c>
      <c r="M203" t="n">
        <v>0</v>
      </c>
      <c r="N203" t="n">
        <v>0</v>
      </c>
      <c r="O203" t="n">
        <v>2</v>
      </c>
      <c r="P203" t="n">
        <v>0</v>
      </c>
      <c r="Q203" t="n">
        <v>3</v>
      </c>
      <c r="R203" s="2" t="inlineStr">
        <is>
          <t>Blanksvart spiklav
Dvärgbägarlav
Dropptaggsvamp</t>
        </is>
      </c>
      <c r="S203">
        <f>HYPERLINK("https://klasma.github.io/Logging_2039/artfynd/A 33582-2021.xlsx", "A 33582-2021")</f>
        <v/>
      </c>
      <c r="T203">
        <f>HYPERLINK("https://klasma.github.io/Logging_2039/kartor/A 33582-2021.png", "A 33582-2021")</f>
        <v/>
      </c>
      <c r="V203">
        <f>HYPERLINK("https://klasma.github.io/Logging_2039/klagomål/A 33582-2021.docx", "A 33582-2021")</f>
        <v/>
      </c>
      <c r="W203">
        <f>HYPERLINK("https://klasma.github.io/Logging_2039/klagomålsmail/A 33582-2021.docx", "A 33582-2021")</f>
        <v/>
      </c>
      <c r="X203">
        <f>HYPERLINK("https://klasma.github.io/Logging_2039/tillsyn/A 33582-2021.docx", "A 33582-2021")</f>
        <v/>
      </c>
      <c r="Y203">
        <f>HYPERLINK("https://klasma.github.io/Logging_2039/tillsynsmail/A 33582-2021.docx", "A 33582-2021")</f>
        <v/>
      </c>
    </row>
    <row r="204" ht="15" customHeight="1">
      <c r="A204" t="inlineStr">
        <is>
          <t>A 34360-2021</t>
        </is>
      </c>
      <c r="B204" s="1" t="n">
        <v>44379</v>
      </c>
      <c r="C204" s="1" t="n">
        <v>45210</v>
      </c>
      <c r="D204" t="inlineStr">
        <is>
          <t>DALARNAS LÄN</t>
        </is>
      </c>
      <c r="E204" t="inlineStr">
        <is>
          <t>HEDEMORA</t>
        </is>
      </c>
      <c r="F204" t="inlineStr">
        <is>
          <t>Sveaskog</t>
        </is>
      </c>
      <c r="G204" t="n">
        <v>3.6</v>
      </c>
      <c r="H204" t="n">
        <v>2</v>
      </c>
      <c r="I204" t="n">
        <v>1</v>
      </c>
      <c r="J204" t="n">
        <v>1</v>
      </c>
      <c r="K204" t="n">
        <v>1</v>
      </c>
      <c r="L204" t="n">
        <v>0</v>
      </c>
      <c r="M204" t="n">
        <v>0</v>
      </c>
      <c r="N204" t="n">
        <v>0</v>
      </c>
      <c r="O204" t="n">
        <v>2</v>
      </c>
      <c r="P204" t="n">
        <v>1</v>
      </c>
      <c r="Q204" t="n">
        <v>3</v>
      </c>
      <c r="R204" s="2" t="inlineStr">
        <is>
          <t>Knärot
Spillkråka
Bronshjon</t>
        </is>
      </c>
      <c r="S204">
        <f>HYPERLINK("https://klasma.github.io/Logging_2083/artfynd/A 34360-2021.xlsx", "A 34360-2021")</f>
        <v/>
      </c>
      <c r="T204">
        <f>HYPERLINK("https://klasma.github.io/Logging_2083/kartor/A 34360-2021.png", "A 34360-2021")</f>
        <v/>
      </c>
      <c r="U204">
        <f>HYPERLINK("https://klasma.github.io/Logging_2083/knärot/A 34360-2021.png", "A 34360-2021")</f>
        <v/>
      </c>
      <c r="V204">
        <f>HYPERLINK("https://klasma.github.io/Logging_2083/klagomål/A 34360-2021.docx", "A 34360-2021")</f>
        <v/>
      </c>
      <c r="W204">
        <f>HYPERLINK("https://klasma.github.io/Logging_2083/klagomålsmail/A 34360-2021.docx", "A 34360-2021")</f>
        <v/>
      </c>
      <c r="X204">
        <f>HYPERLINK("https://klasma.github.io/Logging_2083/tillsyn/A 34360-2021.docx", "A 34360-2021")</f>
        <v/>
      </c>
      <c r="Y204">
        <f>HYPERLINK("https://klasma.github.io/Logging_2083/tillsynsmail/A 34360-2021.docx", "A 34360-2021")</f>
        <v/>
      </c>
    </row>
    <row r="205" ht="15" customHeight="1">
      <c r="A205" t="inlineStr">
        <is>
          <t>A 44438-2021</t>
        </is>
      </c>
      <c r="B205" s="1" t="n">
        <v>44435</v>
      </c>
      <c r="C205" s="1" t="n">
        <v>45210</v>
      </c>
      <c r="D205" t="inlineStr">
        <is>
          <t>DALARNAS LÄN</t>
        </is>
      </c>
      <c r="E205" t="inlineStr">
        <is>
          <t>RÄTTVIK</t>
        </is>
      </c>
      <c r="G205" t="n">
        <v>1.9</v>
      </c>
      <c r="H205" t="n">
        <v>1</v>
      </c>
      <c r="I205" t="n">
        <v>1</v>
      </c>
      <c r="J205" t="n">
        <v>1</v>
      </c>
      <c r="K205" t="n">
        <v>0</v>
      </c>
      <c r="L205" t="n">
        <v>0</v>
      </c>
      <c r="M205" t="n">
        <v>0</v>
      </c>
      <c r="N205" t="n">
        <v>0</v>
      </c>
      <c r="O205" t="n">
        <v>1</v>
      </c>
      <c r="P205" t="n">
        <v>0</v>
      </c>
      <c r="Q205" t="n">
        <v>3</v>
      </c>
      <c r="R205" s="2" t="inlineStr">
        <is>
          <t>Garnlav
Gulnål
Fläcknycklar</t>
        </is>
      </c>
      <c r="S205">
        <f>HYPERLINK("https://klasma.github.io/Logging_2031/artfynd/A 44438-2021.xlsx", "A 44438-2021")</f>
        <v/>
      </c>
      <c r="T205">
        <f>HYPERLINK("https://klasma.github.io/Logging_2031/kartor/A 44438-2021.png", "A 44438-2021")</f>
        <v/>
      </c>
      <c r="V205">
        <f>HYPERLINK("https://klasma.github.io/Logging_2031/klagomål/A 44438-2021.docx", "A 44438-2021")</f>
        <v/>
      </c>
      <c r="W205">
        <f>HYPERLINK("https://klasma.github.io/Logging_2031/klagomålsmail/A 44438-2021.docx", "A 44438-2021")</f>
        <v/>
      </c>
      <c r="X205">
        <f>HYPERLINK("https://klasma.github.io/Logging_2031/tillsyn/A 44438-2021.docx", "A 44438-2021")</f>
        <v/>
      </c>
      <c r="Y205">
        <f>HYPERLINK("https://klasma.github.io/Logging_2031/tillsynsmail/A 44438-2021.docx", "A 44438-2021")</f>
        <v/>
      </c>
    </row>
    <row r="206" ht="15" customHeight="1">
      <c r="A206" t="inlineStr">
        <is>
          <t>A 46316-2021</t>
        </is>
      </c>
      <c r="B206" s="1" t="n">
        <v>44442</v>
      </c>
      <c r="C206" s="1" t="n">
        <v>45210</v>
      </c>
      <c r="D206" t="inlineStr">
        <is>
          <t>DALARNAS LÄN</t>
        </is>
      </c>
      <c r="E206" t="inlineStr">
        <is>
          <t>VANSBRO</t>
        </is>
      </c>
      <c r="G206" t="n">
        <v>1.4</v>
      </c>
      <c r="H206" t="n">
        <v>0</v>
      </c>
      <c r="I206" t="n">
        <v>1</v>
      </c>
      <c r="J206" t="n">
        <v>2</v>
      </c>
      <c r="K206" t="n">
        <v>0</v>
      </c>
      <c r="L206" t="n">
        <v>0</v>
      </c>
      <c r="M206" t="n">
        <v>0</v>
      </c>
      <c r="N206" t="n">
        <v>0</v>
      </c>
      <c r="O206" t="n">
        <v>2</v>
      </c>
      <c r="P206" t="n">
        <v>0</v>
      </c>
      <c r="Q206" t="n">
        <v>3</v>
      </c>
      <c r="R206" s="2" t="inlineStr">
        <is>
          <t>Garnlav
Mjölig dropplav
Kattfotslav</t>
        </is>
      </c>
      <c r="S206">
        <f>HYPERLINK("https://klasma.github.io/Logging_2021/artfynd/A 46316-2021.xlsx", "A 46316-2021")</f>
        <v/>
      </c>
      <c r="T206">
        <f>HYPERLINK("https://klasma.github.io/Logging_2021/kartor/A 46316-2021.png", "A 46316-2021")</f>
        <v/>
      </c>
      <c r="V206">
        <f>HYPERLINK("https://klasma.github.io/Logging_2021/klagomål/A 46316-2021.docx", "A 46316-2021")</f>
        <v/>
      </c>
      <c r="W206">
        <f>HYPERLINK("https://klasma.github.io/Logging_2021/klagomålsmail/A 46316-2021.docx", "A 46316-2021")</f>
        <v/>
      </c>
      <c r="X206">
        <f>HYPERLINK("https://klasma.github.io/Logging_2021/tillsyn/A 46316-2021.docx", "A 46316-2021")</f>
        <v/>
      </c>
      <c r="Y206">
        <f>HYPERLINK("https://klasma.github.io/Logging_2021/tillsynsmail/A 46316-2021.docx", "A 46316-2021")</f>
        <v/>
      </c>
    </row>
    <row r="207" ht="15" customHeight="1">
      <c r="A207" t="inlineStr">
        <is>
          <t>A 51732-2021</t>
        </is>
      </c>
      <c r="B207" s="1" t="n">
        <v>44461</v>
      </c>
      <c r="C207" s="1" t="n">
        <v>45210</v>
      </c>
      <c r="D207" t="inlineStr">
        <is>
          <t>DALARNAS LÄN</t>
        </is>
      </c>
      <c r="E207" t="inlineStr">
        <is>
          <t>ÄLVDALEN</t>
        </is>
      </c>
      <c r="F207" t="inlineStr">
        <is>
          <t>Övriga statliga verk och myndigheter</t>
        </is>
      </c>
      <c r="G207" t="n">
        <v>5</v>
      </c>
      <c r="H207" t="n">
        <v>0</v>
      </c>
      <c r="I207" t="n">
        <v>2</v>
      </c>
      <c r="J207" t="n">
        <v>1</v>
      </c>
      <c r="K207" t="n">
        <v>0</v>
      </c>
      <c r="L207" t="n">
        <v>0</v>
      </c>
      <c r="M207" t="n">
        <v>0</v>
      </c>
      <c r="N207" t="n">
        <v>0</v>
      </c>
      <c r="O207" t="n">
        <v>1</v>
      </c>
      <c r="P207" t="n">
        <v>0</v>
      </c>
      <c r="Q207" t="n">
        <v>3</v>
      </c>
      <c r="R207" s="2" t="inlineStr">
        <is>
          <t>Garnlav
Svavelriska
Vedticka</t>
        </is>
      </c>
      <c r="S207">
        <f>HYPERLINK("https://klasma.github.io/Logging_2039/artfynd/A 51732-2021.xlsx", "A 51732-2021")</f>
        <v/>
      </c>
      <c r="T207">
        <f>HYPERLINK("https://klasma.github.io/Logging_2039/kartor/A 51732-2021.png", "A 51732-2021")</f>
        <v/>
      </c>
      <c r="V207">
        <f>HYPERLINK("https://klasma.github.io/Logging_2039/klagomål/A 51732-2021.docx", "A 51732-2021")</f>
        <v/>
      </c>
      <c r="W207">
        <f>HYPERLINK("https://klasma.github.io/Logging_2039/klagomålsmail/A 51732-2021.docx", "A 51732-2021")</f>
        <v/>
      </c>
      <c r="X207">
        <f>HYPERLINK("https://klasma.github.io/Logging_2039/tillsyn/A 51732-2021.docx", "A 51732-2021")</f>
        <v/>
      </c>
      <c r="Y207">
        <f>HYPERLINK("https://klasma.github.io/Logging_2039/tillsynsmail/A 51732-2021.docx", "A 51732-2021")</f>
        <v/>
      </c>
    </row>
    <row r="208" ht="15" customHeight="1">
      <c r="A208" t="inlineStr">
        <is>
          <t>A 54257-2021</t>
        </is>
      </c>
      <c r="B208" s="1" t="n">
        <v>44470</v>
      </c>
      <c r="C208" s="1" t="n">
        <v>45210</v>
      </c>
      <c r="D208" t="inlineStr">
        <is>
          <t>DALARNAS LÄN</t>
        </is>
      </c>
      <c r="E208" t="inlineStr">
        <is>
          <t>ÄLVDALEN</t>
        </is>
      </c>
      <c r="F208" t="inlineStr">
        <is>
          <t>Bergvik skog öst AB</t>
        </is>
      </c>
      <c r="G208" t="n">
        <v>6.8</v>
      </c>
      <c r="H208" t="n">
        <v>0</v>
      </c>
      <c r="I208" t="n">
        <v>1</v>
      </c>
      <c r="J208" t="n">
        <v>2</v>
      </c>
      <c r="K208" t="n">
        <v>0</v>
      </c>
      <c r="L208" t="n">
        <v>0</v>
      </c>
      <c r="M208" t="n">
        <v>0</v>
      </c>
      <c r="N208" t="n">
        <v>0</v>
      </c>
      <c r="O208" t="n">
        <v>2</v>
      </c>
      <c r="P208" t="n">
        <v>0</v>
      </c>
      <c r="Q208" t="n">
        <v>3</v>
      </c>
      <c r="R208" s="2" t="inlineStr">
        <is>
          <t>Motaggsvamp
Mörk kolflarnlav
Dropptaggsvamp</t>
        </is>
      </c>
      <c r="S208">
        <f>HYPERLINK("https://klasma.github.io/Logging_2039/artfynd/A 54257-2021.xlsx", "A 54257-2021")</f>
        <v/>
      </c>
      <c r="T208">
        <f>HYPERLINK("https://klasma.github.io/Logging_2039/kartor/A 54257-2021.png", "A 54257-2021")</f>
        <v/>
      </c>
      <c r="V208">
        <f>HYPERLINK("https://klasma.github.io/Logging_2039/klagomål/A 54257-2021.docx", "A 54257-2021")</f>
        <v/>
      </c>
      <c r="W208">
        <f>HYPERLINK("https://klasma.github.io/Logging_2039/klagomålsmail/A 54257-2021.docx", "A 54257-2021")</f>
        <v/>
      </c>
      <c r="X208">
        <f>HYPERLINK("https://klasma.github.io/Logging_2039/tillsyn/A 54257-2021.docx", "A 54257-2021")</f>
        <v/>
      </c>
      <c r="Y208">
        <f>HYPERLINK("https://klasma.github.io/Logging_2039/tillsynsmail/A 54257-2021.docx", "A 54257-2021")</f>
        <v/>
      </c>
    </row>
    <row r="209" ht="15" customHeight="1">
      <c r="A209" t="inlineStr">
        <is>
          <t>A 61997-2021</t>
        </is>
      </c>
      <c r="B209" s="1" t="n">
        <v>44501</v>
      </c>
      <c r="C209" s="1" t="n">
        <v>45210</v>
      </c>
      <c r="D209" t="inlineStr">
        <is>
          <t>DALARNAS LÄN</t>
        </is>
      </c>
      <c r="E209" t="inlineStr">
        <is>
          <t>MALUNG-SÄLEN</t>
        </is>
      </c>
      <c r="F209" t="inlineStr">
        <is>
          <t>Allmännings- och besparingsskogar</t>
        </is>
      </c>
      <c r="G209" t="n">
        <v>19</v>
      </c>
      <c r="H209" t="n">
        <v>1</v>
      </c>
      <c r="I209" t="n">
        <v>1</v>
      </c>
      <c r="J209" t="n">
        <v>2</v>
      </c>
      <c r="K209" t="n">
        <v>0</v>
      </c>
      <c r="L209" t="n">
        <v>0</v>
      </c>
      <c r="M209" t="n">
        <v>0</v>
      </c>
      <c r="N209" t="n">
        <v>0</v>
      </c>
      <c r="O209" t="n">
        <v>2</v>
      </c>
      <c r="P209" t="n">
        <v>0</v>
      </c>
      <c r="Q209" t="n">
        <v>3</v>
      </c>
      <c r="R209" s="2" t="inlineStr">
        <is>
          <t>Blågrå svartspik
Varglav
Dropptaggsvamp</t>
        </is>
      </c>
      <c r="S209">
        <f>HYPERLINK("https://klasma.github.io/Logging_2023/artfynd/A 61997-2021.xlsx", "A 61997-2021")</f>
        <v/>
      </c>
      <c r="T209">
        <f>HYPERLINK("https://klasma.github.io/Logging_2023/kartor/A 61997-2021.png", "A 61997-2021")</f>
        <v/>
      </c>
      <c r="V209">
        <f>HYPERLINK("https://klasma.github.io/Logging_2023/klagomål/A 61997-2021.docx", "A 61997-2021")</f>
        <v/>
      </c>
      <c r="W209">
        <f>HYPERLINK("https://klasma.github.io/Logging_2023/klagomålsmail/A 61997-2021.docx", "A 61997-2021")</f>
        <v/>
      </c>
      <c r="X209">
        <f>HYPERLINK("https://klasma.github.io/Logging_2023/tillsyn/A 61997-2021.docx", "A 61997-2021")</f>
        <v/>
      </c>
      <c r="Y209">
        <f>HYPERLINK("https://klasma.github.io/Logging_2023/tillsynsmail/A 61997-2021.docx", "A 61997-2021")</f>
        <v/>
      </c>
    </row>
    <row r="210" ht="15" customHeight="1">
      <c r="A210" t="inlineStr">
        <is>
          <t>A 62054-2021</t>
        </is>
      </c>
      <c r="B210" s="1" t="n">
        <v>44502</v>
      </c>
      <c r="C210" s="1" t="n">
        <v>45210</v>
      </c>
      <c r="D210" t="inlineStr">
        <is>
          <t>DALARNAS LÄN</t>
        </is>
      </c>
      <c r="E210" t="inlineStr">
        <is>
          <t>HEDEMORA</t>
        </is>
      </c>
      <c r="G210" t="n">
        <v>1.5</v>
      </c>
      <c r="H210" t="n">
        <v>1</v>
      </c>
      <c r="I210" t="n">
        <v>0</v>
      </c>
      <c r="J210" t="n">
        <v>2</v>
      </c>
      <c r="K210" t="n">
        <v>1</v>
      </c>
      <c r="L210" t="n">
        <v>0</v>
      </c>
      <c r="M210" t="n">
        <v>0</v>
      </c>
      <c r="N210" t="n">
        <v>0</v>
      </c>
      <c r="O210" t="n">
        <v>3</v>
      </c>
      <c r="P210" t="n">
        <v>1</v>
      </c>
      <c r="Q210" t="n">
        <v>3</v>
      </c>
      <c r="R210" s="2" t="inlineStr">
        <is>
          <t>Knärot
Motaggsvamp
Ullticka</t>
        </is>
      </c>
      <c r="S210">
        <f>HYPERLINK("https://klasma.github.io/Logging_2083/artfynd/A 62054-2021.xlsx", "A 62054-2021")</f>
        <v/>
      </c>
      <c r="T210">
        <f>HYPERLINK("https://klasma.github.io/Logging_2083/kartor/A 62054-2021.png", "A 62054-2021")</f>
        <v/>
      </c>
      <c r="U210">
        <f>HYPERLINK("https://klasma.github.io/Logging_2083/knärot/A 62054-2021.png", "A 62054-2021")</f>
        <v/>
      </c>
      <c r="V210">
        <f>HYPERLINK("https://klasma.github.io/Logging_2083/klagomål/A 62054-2021.docx", "A 62054-2021")</f>
        <v/>
      </c>
      <c r="W210">
        <f>HYPERLINK("https://klasma.github.io/Logging_2083/klagomålsmail/A 62054-2021.docx", "A 62054-2021")</f>
        <v/>
      </c>
      <c r="X210">
        <f>HYPERLINK("https://klasma.github.io/Logging_2083/tillsyn/A 62054-2021.docx", "A 62054-2021")</f>
        <v/>
      </c>
      <c r="Y210">
        <f>HYPERLINK("https://klasma.github.io/Logging_2083/tillsynsmail/A 62054-2021.docx", "A 62054-2021")</f>
        <v/>
      </c>
    </row>
    <row r="211" ht="15" customHeight="1">
      <c r="A211" t="inlineStr">
        <is>
          <t>A 65467-2021</t>
        </is>
      </c>
      <c r="B211" s="1" t="n">
        <v>44516</v>
      </c>
      <c r="C211" s="1" t="n">
        <v>45210</v>
      </c>
      <c r="D211" t="inlineStr">
        <is>
          <t>DALARNAS LÄN</t>
        </is>
      </c>
      <c r="E211" t="inlineStr">
        <is>
          <t>ÄLVDALEN</t>
        </is>
      </c>
      <c r="F211" t="inlineStr">
        <is>
          <t>Sveaskog</t>
        </is>
      </c>
      <c r="G211" t="n">
        <v>47</v>
      </c>
      <c r="H211" t="n">
        <v>1</v>
      </c>
      <c r="I211" t="n">
        <v>0</v>
      </c>
      <c r="J211" t="n">
        <v>3</v>
      </c>
      <c r="K211" t="n">
        <v>0</v>
      </c>
      <c r="L211" t="n">
        <v>0</v>
      </c>
      <c r="M211" t="n">
        <v>0</v>
      </c>
      <c r="N211" t="n">
        <v>0</v>
      </c>
      <c r="O211" t="n">
        <v>3</v>
      </c>
      <c r="P211" t="n">
        <v>0</v>
      </c>
      <c r="Q211" t="n">
        <v>3</v>
      </c>
      <c r="R211" s="2" t="inlineStr">
        <is>
          <t>Dvärgbägarlav
Garnlav
Varglav</t>
        </is>
      </c>
      <c r="S211">
        <f>HYPERLINK("https://klasma.github.io/Logging_2039/artfynd/A 65467-2021.xlsx", "A 65467-2021")</f>
        <v/>
      </c>
      <c r="T211">
        <f>HYPERLINK("https://klasma.github.io/Logging_2039/kartor/A 65467-2021.png", "A 65467-2021")</f>
        <v/>
      </c>
      <c r="V211">
        <f>HYPERLINK("https://klasma.github.io/Logging_2039/klagomål/A 65467-2021.docx", "A 65467-2021")</f>
        <v/>
      </c>
      <c r="W211">
        <f>HYPERLINK("https://klasma.github.io/Logging_2039/klagomålsmail/A 65467-2021.docx", "A 65467-2021")</f>
        <v/>
      </c>
      <c r="X211">
        <f>HYPERLINK("https://klasma.github.io/Logging_2039/tillsyn/A 65467-2021.docx", "A 65467-2021")</f>
        <v/>
      </c>
      <c r="Y211">
        <f>HYPERLINK("https://klasma.github.io/Logging_2039/tillsynsmail/A 65467-2021.docx", "A 65467-2021")</f>
        <v/>
      </c>
    </row>
    <row r="212" ht="15" customHeight="1">
      <c r="A212" t="inlineStr">
        <is>
          <t>A 69304-2021</t>
        </is>
      </c>
      <c r="B212" s="1" t="n">
        <v>44531</v>
      </c>
      <c r="C212" s="1" t="n">
        <v>45210</v>
      </c>
      <c r="D212" t="inlineStr">
        <is>
          <t>DALARNAS LÄN</t>
        </is>
      </c>
      <c r="E212" t="inlineStr">
        <is>
          <t>AVESTA</t>
        </is>
      </c>
      <c r="G212" t="n">
        <v>8</v>
      </c>
      <c r="H212" t="n">
        <v>1</v>
      </c>
      <c r="I212" t="n">
        <v>2</v>
      </c>
      <c r="J212" t="n">
        <v>0</v>
      </c>
      <c r="K212" t="n">
        <v>1</v>
      </c>
      <c r="L212" t="n">
        <v>0</v>
      </c>
      <c r="M212" t="n">
        <v>0</v>
      </c>
      <c r="N212" t="n">
        <v>0</v>
      </c>
      <c r="O212" t="n">
        <v>1</v>
      </c>
      <c r="P212" t="n">
        <v>1</v>
      </c>
      <c r="Q212" t="n">
        <v>3</v>
      </c>
      <c r="R212" s="2" t="inlineStr">
        <is>
          <t>Knärot
Bronshjon
Vedticka</t>
        </is>
      </c>
      <c r="S212">
        <f>HYPERLINK("https://klasma.github.io/Logging_2084/artfynd/A 69304-2021.xlsx", "A 69304-2021")</f>
        <v/>
      </c>
      <c r="T212">
        <f>HYPERLINK("https://klasma.github.io/Logging_2084/kartor/A 69304-2021.png", "A 69304-2021")</f>
        <v/>
      </c>
      <c r="U212">
        <f>HYPERLINK("https://klasma.github.io/Logging_2084/knärot/A 69304-2021.png", "A 69304-2021")</f>
        <v/>
      </c>
      <c r="V212">
        <f>HYPERLINK("https://klasma.github.io/Logging_2084/klagomål/A 69304-2021.docx", "A 69304-2021")</f>
        <v/>
      </c>
      <c r="W212">
        <f>HYPERLINK("https://klasma.github.io/Logging_2084/klagomålsmail/A 69304-2021.docx", "A 69304-2021")</f>
        <v/>
      </c>
      <c r="X212">
        <f>HYPERLINK("https://klasma.github.io/Logging_2084/tillsyn/A 69304-2021.docx", "A 69304-2021")</f>
        <v/>
      </c>
      <c r="Y212">
        <f>HYPERLINK("https://klasma.github.io/Logging_2084/tillsynsmail/A 69304-2021.docx", "A 69304-2021")</f>
        <v/>
      </c>
    </row>
    <row r="213" ht="15" customHeight="1">
      <c r="A213" t="inlineStr">
        <is>
          <t>A 2409-2022</t>
        </is>
      </c>
      <c r="B213" s="1" t="n">
        <v>44579</v>
      </c>
      <c r="C213" s="1" t="n">
        <v>45210</v>
      </c>
      <c r="D213" t="inlineStr">
        <is>
          <t>DALARNAS LÄN</t>
        </is>
      </c>
      <c r="E213" t="inlineStr">
        <is>
          <t>HEDEMORA</t>
        </is>
      </c>
      <c r="G213" t="n">
        <v>3.1</v>
      </c>
      <c r="H213" t="n">
        <v>1</v>
      </c>
      <c r="I213" t="n">
        <v>1</v>
      </c>
      <c r="J213" t="n">
        <v>1</v>
      </c>
      <c r="K213" t="n">
        <v>1</v>
      </c>
      <c r="L213" t="n">
        <v>0</v>
      </c>
      <c r="M213" t="n">
        <v>0</v>
      </c>
      <c r="N213" t="n">
        <v>0</v>
      </c>
      <c r="O213" t="n">
        <v>2</v>
      </c>
      <c r="P213" t="n">
        <v>1</v>
      </c>
      <c r="Q213" t="n">
        <v>3</v>
      </c>
      <c r="R213" s="2" t="inlineStr">
        <is>
          <t>Knärot
Ullticka
Vedticka</t>
        </is>
      </c>
      <c r="S213">
        <f>HYPERLINK("https://klasma.github.io/Logging_2083/artfynd/A 2409-2022.xlsx", "A 2409-2022")</f>
        <v/>
      </c>
      <c r="T213">
        <f>HYPERLINK("https://klasma.github.io/Logging_2083/kartor/A 2409-2022.png", "A 2409-2022")</f>
        <v/>
      </c>
      <c r="U213">
        <f>HYPERLINK("https://klasma.github.io/Logging_2083/knärot/A 2409-2022.png", "A 2409-2022")</f>
        <v/>
      </c>
      <c r="V213">
        <f>HYPERLINK("https://klasma.github.io/Logging_2083/klagomål/A 2409-2022.docx", "A 2409-2022")</f>
        <v/>
      </c>
      <c r="W213">
        <f>HYPERLINK("https://klasma.github.io/Logging_2083/klagomålsmail/A 2409-2022.docx", "A 2409-2022")</f>
        <v/>
      </c>
      <c r="X213">
        <f>HYPERLINK("https://klasma.github.io/Logging_2083/tillsyn/A 2409-2022.docx", "A 2409-2022")</f>
        <v/>
      </c>
      <c r="Y213">
        <f>HYPERLINK("https://klasma.github.io/Logging_2083/tillsynsmail/A 2409-2022.docx", "A 2409-2022")</f>
        <v/>
      </c>
    </row>
    <row r="214" ht="15" customHeight="1">
      <c r="A214" t="inlineStr">
        <is>
          <t>A 4177-2022</t>
        </is>
      </c>
      <c r="B214" s="1" t="n">
        <v>44588</v>
      </c>
      <c r="C214" s="1" t="n">
        <v>45210</v>
      </c>
      <c r="D214" t="inlineStr">
        <is>
          <t>DALARNAS LÄN</t>
        </is>
      </c>
      <c r="E214" t="inlineStr">
        <is>
          <t>HEDEMORA</t>
        </is>
      </c>
      <c r="G214" t="n">
        <v>5.3</v>
      </c>
      <c r="H214" t="n">
        <v>2</v>
      </c>
      <c r="I214" t="n">
        <v>1</v>
      </c>
      <c r="J214" t="n">
        <v>0</v>
      </c>
      <c r="K214" t="n">
        <v>1</v>
      </c>
      <c r="L214" t="n">
        <v>0</v>
      </c>
      <c r="M214" t="n">
        <v>0</v>
      </c>
      <c r="N214" t="n">
        <v>0</v>
      </c>
      <c r="O214" t="n">
        <v>1</v>
      </c>
      <c r="P214" t="n">
        <v>1</v>
      </c>
      <c r="Q214" t="n">
        <v>3</v>
      </c>
      <c r="R214" s="2" t="inlineStr">
        <is>
          <t>Knärot
Bronshjon
Fläcknycklar</t>
        </is>
      </c>
      <c r="S214">
        <f>HYPERLINK("https://klasma.github.io/Logging_2083/artfynd/A 4177-2022.xlsx", "A 4177-2022")</f>
        <v/>
      </c>
      <c r="T214">
        <f>HYPERLINK("https://klasma.github.io/Logging_2083/kartor/A 4177-2022.png", "A 4177-2022")</f>
        <v/>
      </c>
      <c r="U214">
        <f>HYPERLINK("https://klasma.github.io/Logging_2083/knärot/A 4177-2022.png", "A 4177-2022")</f>
        <v/>
      </c>
      <c r="V214">
        <f>HYPERLINK("https://klasma.github.io/Logging_2083/klagomål/A 4177-2022.docx", "A 4177-2022")</f>
        <v/>
      </c>
      <c r="W214">
        <f>HYPERLINK("https://klasma.github.io/Logging_2083/klagomålsmail/A 4177-2022.docx", "A 4177-2022")</f>
        <v/>
      </c>
      <c r="X214">
        <f>HYPERLINK("https://klasma.github.io/Logging_2083/tillsyn/A 4177-2022.docx", "A 4177-2022")</f>
        <v/>
      </c>
      <c r="Y214">
        <f>HYPERLINK("https://klasma.github.io/Logging_2083/tillsynsmail/A 4177-2022.docx", "A 4177-2022")</f>
        <v/>
      </c>
    </row>
    <row r="215" ht="15" customHeight="1">
      <c r="A215" t="inlineStr">
        <is>
          <t>A 6094-2022</t>
        </is>
      </c>
      <c r="B215" s="1" t="n">
        <v>44599</v>
      </c>
      <c r="C215" s="1" t="n">
        <v>45210</v>
      </c>
      <c r="D215" t="inlineStr">
        <is>
          <t>DALARNAS LÄN</t>
        </is>
      </c>
      <c r="E215" t="inlineStr">
        <is>
          <t>BORLÄNGE</t>
        </is>
      </c>
      <c r="G215" t="n">
        <v>19.7</v>
      </c>
      <c r="H215" t="n">
        <v>1</v>
      </c>
      <c r="I215" t="n">
        <v>2</v>
      </c>
      <c r="J215" t="n">
        <v>1</v>
      </c>
      <c r="K215" t="n">
        <v>0</v>
      </c>
      <c r="L215" t="n">
        <v>0</v>
      </c>
      <c r="M215" t="n">
        <v>0</v>
      </c>
      <c r="N215" t="n">
        <v>0</v>
      </c>
      <c r="O215" t="n">
        <v>1</v>
      </c>
      <c r="P215" t="n">
        <v>0</v>
      </c>
      <c r="Q215" t="n">
        <v>3</v>
      </c>
      <c r="R215" s="2" t="inlineStr">
        <is>
          <t>Utter
Bronshjon
Rödgul trumpetsvamp</t>
        </is>
      </c>
      <c r="S215">
        <f>HYPERLINK("https://klasma.github.io/Logging_2081/artfynd/A 6094-2022.xlsx", "A 6094-2022")</f>
        <v/>
      </c>
      <c r="T215">
        <f>HYPERLINK("https://klasma.github.io/Logging_2081/kartor/A 6094-2022.png", "A 6094-2022")</f>
        <v/>
      </c>
      <c r="V215">
        <f>HYPERLINK("https://klasma.github.io/Logging_2081/klagomål/A 6094-2022.docx", "A 6094-2022")</f>
        <v/>
      </c>
      <c r="W215">
        <f>HYPERLINK("https://klasma.github.io/Logging_2081/klagomålsmail/A 6094-2022.docx", "A 6094-2022")</f>
        <v/>
      </c>
      <c r="X215">
        <f>HYPERLINK("https://klasma.github.io/Logging_2081/tillsyn/A 6094-2022.docx", "A 6094-2022")</f>
        <v/>
      </c>
      <c r="Y215">
        <f>HYPERLINK("https://klasma.github.io/Logging_2081/tillsynsmail/A 6094-2022.docx", "A 6094-2022")</f>
        <v/>
      </c>
    </row>
    <row r="216" ht="15" customHeight="1">
      <c r="A216" t="inlineStr">
        <is>
          <t>A 27462-2022</t>
        </is>
      </c>
      <c r="B216" s="1" t="n">
        <v>44742</v>
      </c>
      <c r="C216" s="1" t="n">
        <v>45210</v>
      </c>
      <c r="D216" t="inlineStr">
        <is>
          <t>DALARNAS LÄN</t>
        </is>
      </c>
      <c r="E216" t="inlineStr">
        <is>
          <t>MALUNG-SÄLEN</t>
        </is>
      </c>
      <c r="F216" t="inlineStr">
        <is>
          <t>Bergvik skog väst AB</t>
        </is>
      </c>
      <c r="G216" t="n">
        <v>4.9</v>
      </c>
      <c r="H216" t="n">
        <v>0</v>
      </c>
      <c r="I216" t="n">
        <v>0</v>
      </c>
      <c r="J216" t="n">
        <v>3</v>
      </c>
      <c r="K216" t="n">
        <v>0</v>
      </c>
      <c r="L216" t="n">
        <v>0</v>
      </c>
      <c r="M216" t="n">
        <v>0</v>
      </c>
      <c r="N216" t="n">
        <v>0</v>
      </c>
      <c r="O216" t="n">
        <v>3</v>
      </c>
      <c r="P216" t="n">
        <v>0</v>
      </c>
      <c r="Q216" t="n">
        <v>3</v>
      </c>
      <c r="R216" s="2" t="inlineStr">
        <is>
          <t>Garnlav
Lunglav
Skrovellav</t>
        </is>
      </c>
      <c r="S216">
        <f>HYPERLINK("https://klasma.github.io/Logging_2023/artfynd/A 27462-2022.xlsx", "A 27462-2022")</f>
        <v/>
      </c>
      <c r="T216">
        <f>HYPERLINK("https://klasma.github.io/Logging_2023/kartor/A 27462-2022.png", "A 27462-2022")</f>
        <v/>
      </c>
      <c r="V216">
        <f>HYPERLINK("https://klasma.github.io/Logging_2023/klagomål/A 27462-2022.docx", "A 27462-2022")</f>
        <v/>
      </c>
      <c r="W216">
        <f>HYPERLINK("https://klasma.github.io/Logging_2023/klagomålsmail/A 27462-2022.docx", "A 27462-2022")</f>
        <v/>
      </c>
      <c r="X216">
        <f>HYPERLINK("https://klasma.github.io/Logging_2023/tillsyn/A 27462-2022.docx", "A 27462-2022")</f>
        <v/>
      </c>
      <c r="Y216">
        <f>HYPERLINK("https://klasma.github.io/Logging_2023/tillsynsmail/A 27462-2022.docx", "A 27462-2022")</f>
        <v/>
      </c>
    </row>
    <row r="217" ht="15" customHeight="1">
      <c r="A217" t="inlineStr">
        <is>
          <t>A 34878-2022</t>
        </is>
      </c>
      <c r="B217" s="1" t="n">
        <v>44796</v>
      </c>
      <c r="C217" s="1" t="n">
        <v>45210</v>
      </c>
      <c r="D217" t="inlineStr">
        <is>
          <t>DALARNAS LÄN</t>
        </is>
      </c>
      <c r="E217" t="inlineStr">
        <is>
          <t>MALUNG-SÄLEN</t>
        </is>
      </c>
      <c r="G217" t="n">
        <v>0.7</v>
      </c>
      <c r="H217" t="n">
        <v>0</v>
      </c>
      <c r="I217" t="n">
        <v>0</v>
      </c>
      <c r="J217" t="n">
        <v>3</v>
      </c>
      <c r="K217" t="n">
        <v>0</v>
      </c>
      <c r="L217" t="n">
        <v>0</v>
      </c>
      <c r="M217" t="n">
        <v>0</v>
      </c>
      <c r="N217" t="n">
        <v>0</v>
      </c>
      <c r="O217" t="n">
        <v>3</v>
      </c>
      <c r="P217" t="n">
        <v>0</v>
      </c>
      <c r="Q217" t="n">
        <v>3</v>
      </c>
      <c r="R217" s="2" t="inlineStr">
        <is>
          <t>Gammelgransskål
Garnlav
Violettgrå tagellav</t>
        </is>
      </c>
      <c r="S217">
        <f>HYPERLINK("https://klasma.github.io/Logging_2023/artfynd/A 34878-2022.xlsx", "A 34878-2022")</f>
        <v/>
      </c>
      <c r="T217">
        <f>HYPERLINK("https://klasma.github.io/Logging_2023/kartor/A 34878-2022.png", "A 34878-2022")</f>
        <v/>
      </c>
      <c r="V217">
        <f>HYPERLINK("https://klasma.github.io/Logging_2023/klagomål/A 34878-2022.docx", "A 34878-2022")</f>
        <v/>
      </c>
      <c r="W217">
        <f>HYPERLINK("https://klasma.github.io/Logging_2023/klagomålsmail/A 34878-2022.docx", "A 34878-2022")</f>
        <v/>
      </c>
      <c r="X217">
        <f>HYPERLINK("https://klasma.github.io/Logging_2023/tillsyn/A 34878-2022.docx", "A 34878-2022")</f>
        <v/>
      </c>
      <c r="Y217">
        <f>HYPERLINK("https://klasma.github.io/Logging_2023/tillsynsmail/A 34878-2022.docx", "A 34878-2022")</f>
        <v/>
      </c>
    </row>
    <row r="218" ht="15" customHeight="1">
      <c r="A218" t="inlineStr">
        <is>
          <t>A 35916-2022</t>
        </is>
      </c>
      <c r="B218" s="1" t="n">
        <v>44802</v>
      </c>
      <c r="C218" s="1" t="n">
        <v>45210</v>
      </c>
      <c r="D218" t="inlineStr">
        <is>
          <t>DALARNAS LÄN</t>
        </is>
      </c>
      <c r="E218" t="inlineStr">
        <is>
          <t>SÄTER</t>
        </is>
      </c>
      <c r="F218" t="inlineStr">
        <is>
          <t>Bergvik skog väst AB</t>
        </is>
      </c>
      <c r="G218" t="n">
        <v>2.6</v>
      </c>
      <c r="H218" t="n">
        <v>1</v>
      </c>
      <c r="I218" t="n">
        <v>0</v>
      </c>
      <c r="J218" t="n">
        <v>1</v>
      </c>
      <c r="K218" t="n">
        <v>1</v>
      </c>
      <c r="L218" t="n">
        <v>0</v>
      </c>
      <c r="M218" t="n">
        <v>0</v>
      </c>
      <c r="N218" t="n">
        <v>0</v>
      </c>
      <c r="O218" t="n">
        <v>2</v>
      </c>
      <c r="P218" t="n">
        <v>1</v>
      </c>
      <c r="Q218" t="n">
        <v>3</v>
      </c>
      <c r="R218" s="2" t="inlineStr">
        <is>
          <t>Slåttergubbe
Slåtterfibbla
Huggorm</t>
        </is>
      </c>
      <c r="S218">
        <f>HYPERLINK("https://klasma.github.io/Logging_2082/artfynd/A 35916-2022.xlsx", "A 35916-2022")</f>
        <v/>
      </c>
      <c r="T218">
        <f>HYPERLINK("https://klasma.github.io/Logging_2082/kartor/A 35916-2022.png", "A 35916-2022")</f>
        <v/>
      </c>
      <c r="V218">
        <f>HYPERLINK("https://klasma.github.io/Logging_2082/klagomål/A 35916-2022.docx", "A 35916-2022")</f>
        <v/>
      </c>
      <c r="W218">
        <f>HYPERLINK("https://klasma.github.io/Logging_2082/klagomålsmail/A 35916-2022.docx", "A 35916-2022")</f>
        <v/>
      </c>
      <c r="X218">
        <f>HYPERLINK("https://klasma.github.io/Logging_2082/tillsyn/A 35916-2022.docx", "A 35916-2022")</f>
        <v/>
      </c>
      <c r="Y218">
        <f>HYPERLINK("https://klasma.github.io/Logging_2082/tillsynsmail/A 35916-2022.docx", "A 35916-2022")</f>
        <v/>
      </c>
    </row>
    <row r="219" ht="15" customHeight="1">
      <c r="A219" t="inlineStr">
        <is>
          <t>A 41909-2022</t>
        </is>
      </c>
      <c r="B219" s="1" t="n">
        <v>44830</v>
      </c>
      <c r="C219" s="1" t="n">
        <v>45210</v>
      </c>
      <c r="D219" t="inlineStr">
        <is>
          <t>DALARNAS LÄN</t>
        </is>
      </c>
      <c r="E219" t="inlineStr">
        <is>
          <t>ÄLVDALEN</t>
        </is>
      </c>
      <c r="F219" t="inlineStr">
        <is>
          <t>Sveaskog</t>
        </is>
      </c>
      <c r="G219" t="n">
        <v>3.5</v>
      </c>
      <c r="H219" t="n">
        <v>1</v>
      </c>
      <c r="I219" t="n">
        <v>0</v>
      </c>
      <c r="J219" t="n">
        <v>2</v>
      </c>
      <c r="K219" t="n">
        <v>1</v>
      </c>
      <c r="L219" t="n">
        <v>0</v>
      </c>
      <c r="M219" t="n">
        <v>0</v>
      </c>
      <c r="N219" t="n">
        <v>0</v>
      </c>
      <c r="O219" t="n">
        <v>3</v>
      </c>
      <c r="P219" t="n">
        <v>1</v>
      </c>
      <c r="Q219" t="n">
        <v>3</v>
      </c>
      <c r="R219" s="2" t="inlineStr">
        <is>
          <t>Tajgataggsvamp
Blanksvart spiklav
Talltita</t>
        </is>
      </c>
      <c r="S219">
        <f>HYPERLINK("https://klasma.github.io/Logging_2039/artfynd/A 41909-2022.xlsx", "A 41909-2022")</f>
        <v/>
      </c>
      <c r="T219">
        <f>HYPERLINK("https://klasma.github.io/Logging_2039/kartor/A 41909-2022.png", "A 41909-2022")</f>
        <v/>
      </c>
      <c r="V219">
        <f>HYPERLINK("https://klasma.github.io/Logging_2039/klagomål/A 41909-2022.docx", "A 41909-2022")</f>
        <v/>
      </c>
      <c r="W219">
        <f>HYPERLINK("https://klasma.github.io/Logging_2039/klagomålsmail/A 41909-2022.docx", "A 41909-2022")</f>
        <v/>
      </c>
      <c r="X219">
        <f>HYPERLINK("https://klasma.github.io/Logging_2039/tillsyn/A 41909-2022.docx", "A 41909-2022")</f>
        <v/>
      </c>
      <c r="Y219">
        <f>HYPERLINK("https://klasma.github.io/Logging_2039/tillsynsmail/A 41909-2022.docx", "A 41909-2022")</f>
        <v/>
      </c>
    </row>
    <row r="220" ht="15" customHeight="1">
      <c r="A220" t="inlineStr">
        <is>
          <t>A 41919-2022</t>
        </is>
      </c>
      <c r="B220" s="1" t="n">
        <v>44830</v>
      </c>
      <c r="C220" s="1" t="n">
        <v>45210</v>
      </c>
      <c r="D220" t="inlineStr">
        <is>
          <t>DALARNAS LÄN</t>
        </is>
      </c>
      <c r="E220" t="inlineStr">
        <is>
          <t>ÄLVDALEN</t>
        </is>
      </c>
      <c r="F220" t="inlineStr">
        <is>
          <t>Sveaskog</t>
        </is>
      </c>
      <c r="G220" t="n">
        <v>0.9</v>
      </c>
      <c r="H220" t="n">
        <v>0</v>
      </c>
      <c r="I220" t="n">
        <v>1</v>
      </c>
      <c r="J220" t="n">
        <v>1</v>
      </c>
      <c r="K220" t="n">
        <v>1</v>
      </c>
      <c r="L220" t="n">
        <v>0</v>
      </c>
      <c r="M220" t="n">
        <v>0</v>
      </c>
      <c r="N220" t="n">
        <v>0</v>
      </c>
      <c r="O220" t="n">
        <v>2</v>
      </c>
      <c r="P220" t="n">
        <v>1</v>
      </c>
      <c r="Q220" t="n">
        <v>3</v>
      </c>
      <c r="R220" s="2" t="inlineStr">
        <is>
          <t>Gräddporing
Blanksvart spiklav
Vedticka</t>
        </is>
      </c>
      <c r="S220">
        <f>HYPERLINK("https://klasma.github.io/Logging_2039/artfynd/A 41919-2022.xlsx", "A 41919-2022")</f>
        <v/>
      </c>
      <c r="T220">
        <f>HYPERLINK("https://klasma.github.io/Logging_2039/kartor/A 41919-2022.png", "A 41919-2022")</f>
        <v/>
      </c>
      <c r="V220">
        <f>HYPERLINK("https://klasma.github.io/Logging_2039/klagomål/A 41919-2022.docx", "A 41919-2022")</f>
        <v/>
      </c>
      <c r="W220">
        <f>HYPERLINK("https://klasma.github.io/Logging_2039/klagomålsmail/A 41919-2022.docx", "A 41919-2022")</f>
        <v/>
      </c>
      <c r="X220">
        <f>HYPERLINK("https://klasma.github.io/Logging_2039/tillsyn/A 41919-2022.docx", "A 41919-2022")</f>
        <v/>
      </c>
      <c r="Y220">
        <f>HYPERLINK("https://klasma.github.io/Logging_2039/tillsynsmail/A 41919-2022.docx", "A 41919-2022")</f>
        <v/>
      </c>
    </row>
    <row r="221" ht="15" customHeight="1">
      <c r="A221" t="inlineStr">
        <is>
          <t>A 41921-2022</t>
        </is>
      </c>
      <c r="B221" s="1" t="n">
        <v>44830</v>
      </c>
      <c r="C221" s="1" t="n">
        <v>45210</v>
      </c>
      <c r="D221" t="inlineStr">
        <is>
          <t>DALARNAS LÄN</t>
        </is>
      </c>
      <c r="E221" t="inlineStr">
        <is>
          <t>ÄLVDALEN</t>
        </is>
      </c>
      <c r="F221" t="inlineStr">
        <is>
          <t>Sveaskog</t>
        </is>
      </c>
      <c r="G221" t="n">
        <v>5.4</v>
      </c>
      <c r="H221" t="n">
        <v>1</v>
      </c>
      <c r="I221" t="n">
        <v>0</v>
      </c>
      <c r="J221" t="n">
        <v>3</v>
      </c>
      <c r="K221" t="n">
        <v>0</v>
      </c>
      <c r="L221" t="n">
        <v>0</v>
      </c>
      <c r="M221" t="n">
        <v>0</v>
      </c>
      <c r="N221" t="n">
        <v>0</v>
      </c>
      <c r="O221" t="n">
        <v>3</v>
      </c>
      <c r="P221" t="n">
        <v>0</v>
      </c>
      <c r="Q221" t="n">
        <v>3</v>
      </c>
      <c r="R221" s="2" t="inlineStr">
        <is>
          <t>Blågrå svartspik
Tretåig hackspett
Vedskivlav</t>
        </is>
      </c>
      <c r="S221">
        <f>HYPERLINK("https://klasma.github.io/Logging_2039/artfynd/A 41921-2022.xlsx", "A 41921-2022")</f>
        <v/>
      </c>
      <c r="T221">
        <f>HYPERLINK("https://klasma.github.io/Logging_2039/kartor/A 41921-2022.png", "A 41921-2022")</f>
        <v/>
      </c>
      <c r="V221">
        <f>HYPERLINK("https://klasma.github.io/Logging_2039/klagomål/A 41921-2022.docx", "A 41921-2022")</f>
        <v/>
      </c>
      <c r="W221">
        <f>HYPERLINK("https://klasma.github.io/Logging_2039/klagomålsmail/A 41921-2022.docx", "A 41921-2022")</f>
        <v/>
      </c>
      <c r="X221">
        <f>HYPERLINK("https://klasma.github.io/Logging_2039/tillsyn/A 41921-2022.docx", "A 41921-2022")</f>
        <v/>
      </c>
      <c r="Y221">
        <f>HYPERLINK("https://klasma.github.io/Logging_2039/tillsynsmail/A 41921-2022.docx", "A 41921-2022")</f>
        <v/>
      </c>
    </row>
    <row r="222" ht="15" customHeight="1">
      <c r="A222" t="inlineStr">
        <is>
          <t>A 51505-2022</t>
        </is>
      </c>
      <c r="B222" s="1" t="n">
        <v>44869</v>
      </c>
      <c r="C222" s="1" t="n">
        <v>45210</v>
      </c>
      <c r="D222" t="inlineStr">
        <is>
          <t>DALARNAS LÄN</t>
        </is>
      </c>
      <c r="E222" t="inlineStr">
        <is>
          <t>LEKSAND</t>
        </is>
      </c>
      <c r="F222" t="inlineStr">
        <is>
          <t>Bergvik skog väst AB</t>
        </is>
      </c>
      <c r="G222" t="n">
        <v>1.3</v>
      </c>
      <c r="H222" t="n">
        <v>0</v>
      </c>
      <c r="I222" t="n">
        <v>1</v>
      </c>
      <c r="J222" t="n">
        <v>2</v>
      </c>
      <c r="K222" t="n">
        <v>0</v>
      </c>
      <c r="L222" t="n">
        <v>0</v>
      </c>
      <c r="M222" t="n">
        <v>0</v>
      </c>
      <c r="N222" t="n">
        <v>0</v>
      </c>
      <c r="O222" t="n">
        <v>2</v>
      </c>
      <c r="P222" t="n">
        <v>0</v>
      </c>
      <c r="Q222" t="n">
        <v>3</v>
      </c>
      <c r="R222" s="2" t="inlineStr">
        <is>
          <t>Garnlav
Motaggsvamp
Bronshjon</t>
        </is>
      </c>
      <c r="S222">
        <f>HYPERLINK("https://klasma.github.io/Logging_2029/artfynd/A 51505-2022.xlsx", "A 51505-2022")</f>
        <v/>
      </c>
      <c r="T222">
        <f>HYPERLINK("https://klasma.github.io/Logging_2029/kartor/A 51505-2022.png", "A 51505-2022")</f>
        <v/>
      </c>
      <c r="V222">
        <f>HYPERLINK("https://klasma.github.io/Logging_2029/klagomål/A 51505-2022.docx", "A 51505-2022")</f>
        <v/>
      </c>
      <c r="W222">
        <f>HYPERLINK("https://klasma.github.io/Logging_2029/klagomålsmail/A 51505-2022.docx", "A 51505-2022")</f>
        <v/>
      </c>
      <c r="X222">
        <f>HYPERLINK("https://klasma.github.io/Logging_2029/tillsyn/A 51505-2022.docx", "A 51505-2022")</f>
        <v/>
      </c>
      <c r="Y222">
        <f>HYPERLINK("https://klasma.github.io/Logging_2029/tillsynsmail/A 51505-2022.docx", "A 51505-2022")</f>
        <v/>
      </c>
    </row>
    <row r="223" ht="15" customHeight="1">
      <c r="A223" t="inlineStr">
        <is>
          <t>A 51961-2022</t>
        </is>
      </c>
      <c r="B223" s="1" t="n">
        <v>44872</v>
      </c>
      <c r="C223" s="1" t="n">
        <v>45210</v>
      </c>
      <c r="D223" t="inlineStr">
        <is>
          <t>DALARNAS LÄN</t>
        </is>
      </c>
      <c r="E223" t="inlineStr">
        <is>
          <t>FALUN</t>
        </is>
      </c>
      <c r="F223" t="inlineStr">
        <is>
          <t>Bergvik skog väst AB</t>
        </is>
      </c>
      <c r="G223" t="n">
        <v>2.9</v>
      </c>
      <c r="H223" t="n">
        <v>1</v>
      </c>
      <c r="I223" t="n">
        <v>2</v>
      </c>
      <c r="J223" t="n">
        <v>1</v>
      </c>
      <c r="K223" t="n">
        <v>0</v>
      </c>
      <c r="L223" t="n">
        <v>0</v>
      </c>
      <c r="M223" t="n">
        <v>0</v>
      </c>
      <c r="N223" t="n">
        <v>0</v>
      </c>
      <c r="O223" t="n">
        <v>1</v>
      </c>
      <c r="P223" t="n">
        <v>0</v>
      </c>
      <c r="Q223" t="n">
        <v>3</v>
      </c>
      <c r="R223" s="2" t="inlineStr">
        <is>
          <t>Spillkråka
Bronshjon
Mindre märgborre</t>
        </is>
      </c>
      <c r="S223">
        <f>HYPERLINK("https://klasma.github.io/Logging_2080/artfynd/A 51961-2022.xlsx", "A 51961-2022")</f>
        <v/>
      </c>
      <c r="T223">
        <f>HYPERLINK("https://klasma.github.io/Logging_2080/kartor/A 51961-2022.png", "A 51961-2022")</f>
        <v/>
      </c>
      <c r="V223">
        <f>HYPERLINK("https://klasma.github.io/Logging_2080/klagomål/A 51961-2022.docx", "A 51961-2022")</f>
        <v/>
      </c>
      <c r="W223">
        <f>HYPERLINK("https://klasma.github.io/Logging_2080/klagomålsmail/A 51961-2022.docx", "A 51961-2022")</f>
        <v/>
      </c>
      <c r="X223">
        <f>HYPERLINK("https://klasma.github.io/Logging_2080/tillsyn/A 51961-2022.docx", "A 51961-2022")</f>
        <v/>
      </c>
      <c r="Y223">
        <f>HYPERLINK("https://klasma.github.io/Logging_2080/tillsynsmail/A 51961-2022.docx", "A 51961-2022")</f>
        <v/>
      </c>
    </row>
    <row r="224" ht="15" customHeight="1">
      <c r="A224" t="inlineStr">
        <is>
          <t>A 60133-2022</t>
        </is>
      </c>
      <c r="B224" s="1" t="n">
        <v>44909</v>
      </c>
      <c r="C224" s="1" t="n">
        <v>45210</v>
      </c>
      <c r="D224" t="inlineStr">
        <is>
          <t>DALARNAS LÄN</t>
        </is>
      </c>
      <c r="E224" t="inlineStr">
        <is>
          <t>RÄTTVIK</t>
        </is>
      </c>
      <c r="F224" t="inlineStr">
        <is>
          <t>Sveaskog</t>
        </is>
      </c>
      <c r="G224" t="n">
        <v>2.6</v>
      </c>
      <c r="H224" t="n">
        <v>1</v>
      </c>
      <c r="I224" t="n">
        <v>1</v>
      </c>
      <c r="J224" t="n">
        <v>0</v>
      </c>
      <c r="K224" t="n">
        <v>1</v>
      </c>
      <c r="L224" t="n">
        <v>0</v>
      </c>
      <c r="M224" t="n">
        <v>0</v>
      </c>
      <c r="N224" t="n">
        <v>0</v>
      </c>
      <c r="O224" t="n">
        <v>1</v>
      </c>
      <c r="P224" t="n">
        <v>1</v>
      </c>
      <c r="Q224" t="n">
        <v>3</v>
      </c>
      <c r="R224" s="2" t="inlineStr">
        <is>
          <t>Spadskinn
Mindre märgborre
Revlummer</t>
        </is>
      </c>
      <c r="S224">
        <f>HYPERLINK("https://klasma.github.io/Logging_2031/artfynd/A 60133-2022.xlsx", "A 60133-2022")</f>
        <v/>
      </c>
      <c r="T224">
        <f>HYPERLINK("https://klasma.github.io/Logging_2031/kartor/A 60133-2022.png", "A 60133-2022")</f>
        <v/>
      </c>
      <c r="V224">
        <f>HYPERLINK("https://klasma.github.io/Logging_2031/klagomål/A 60133-2022.docx", "A 60133-2022")</f>
        <v/>
      </c>
      <c r="W224">
        <f>HYPERLINK("https://klasma.github.io/Logging_2031/klagomålsmail/A 60133-2022.docx", "A 60133-2022")</f>
        <v/>
      </c>
      <c r="X224">
        <f>HYPERLINK("https://klasma.github.io/Logging_2031/tillsyn/A 60133-2022.docx", "A 60133-2022")</f>
        <v/>
      </c>
      <c r="Y224">
        <f>HYPERLINK("https://klasma.github.io/Logging_2031/tillsynsmail/A 60133-2022.docx", "A 60133-2022")</f>
        <v/>
      </c>
    </row>
    <row r="225" ht="15" customHeight="1">
      <c r="A225" t="inlineStr">
        <is>
          <t>A 60127-2022</t>
        </is>
      </c>
      <c r="B225" s="1" t="n">
        <v>44909</v>
      </c>
      <c r="C225" s="1" t="n">
        <v>45210</v>
      </c>
      <c r="D225" t="inlineStr">
        <is>
          <t>DALARNAS LÄN</t>
        </is>
      </c>
      <c r="E225" t="inlineStr">
        <is>
          <t>RÄTTVIK</t>
        </is>
      </c>
      <c r="F225" t="inlineStr">
        <is>
          <t>Sveaskog</t>
        </is>
      </c>
      <c r="G225" t="n">
        <v>0.9</v>
      </c>
      <c r="H225" t="n">
        <v>0</v>
      </c>
      <c r="I225" t="n">
        <v>0</v>
      </c>
      <c r="J225" t="n">
        <v>3</v>
      </c>
      <c r="K225" t="n">
        <v>0</v>
      </c>
      <c r="L225" t="n">
        <v>0</v>
      </c>
      <c r="M225" t="n">
        <v>0</v>
      </c>
      <c r="N225" t="n">
        <v>0</v>
      </c>
      <c r="O225" t="n">
        <v>3</v>
      </c>
      <c r="P225" t="n">
        <v>0</v>
      </c>
      <c r="Q225" t="n">
        <v>3</v>
      </c>
      <c r="R225" s="2" t="inlineStr">
        <is>
          <t>Kolflarnlav
Mörk kolflarnlav
Vedflamlav</t>
        </is>
      </c>
      <c r="S225">
        <f>HYPERLINK("https://klasma.github.io/Logging_2031/artfynd/A 60127-2022.xlsx", "A 60127-2022")</f>
        <v/>
      </c>
      <c r="T225">
        <f>HYPERLINK("https://klasma.github.io/Logging_2031/kartor/A 60127-2022.png", "A 60127-2022")</f>
        <v/>
      </c>
      <c r="V225">
        <f>HYPERLINK("https://klasma.github.io/Logging_2031/klagomål/A 60127-2022.docx", "A 60127-2022")</f>
        <v/>
      </c>
      <c r="W225">
        <f>HYPERLINK("https://klasma.github.io/Logging_2031/klagomålsmail/A 60127-2022.docx", "A 60127-2022")</f>
        <v/>
      </c>
      <c r="X225">
        <f>HYPERLINK("https://klasma.github.io/Logging_2031/tillsyn/A 60127-2022.docx", "A 60127-2022")</f>
        <v/>
      </c>
      <c r="Y225">
        <f>HYPERLINK("https://klasma.github.io/Logging_2031/tillsynsmail/A 60127-2022.docx", "A 60127-2022")</f>
        <v/>
      </c>
    </row>
    <row r="226" ht="15" customHeight="1">
      <c r="A226" t="inlineStr">
        <is>
          <t>A 62482-2022</t>
        </is>
      </c>
      <c r="B226" s="1" t="n">
        <v>44924</v>
      </c>
      <c r="C226" s="1" t="n">
        <v>45210</v>
      </c>
      <c r="D226" t="inlineStr">
        <is>
          <t>DALARNAS LÄN</t>
        </is>
      </c>
      <c r="E226" t="inlineStr">
        <is>
          <t>FALUN</t>
        </is>
      </c>
      <c r="G226" t="n">
        <v>22.7</v>
      </c>
      <c r="H226" t="n">
        <v>0</v>
      </c>
      <c r="I226" t="n">
        <v>2</v>
      </c>
      <c r="J226" t="n">
        <v>1</v>
      </c>
      <c r="K226" t="n">
        <v>0</v>
      </c>
      <c r="L226" t="n">
        <v>0</v>
      </c>
      <c r="M226" t="n">
        <v>0</v>
      </c>
      <c r="N226" t="n">
        <v>0</v>
      </c>
      <c r="O226" t="n">
        <v>1</v>
      </c>
      <c r="P226" t="n">
        <v>0</v>
      </c>
      <c r="Q226" t="n">
        <v>3</v>
      </c>
      <c r="R226" s="2" t="inlineStr">
        <is>
          <t>Garnlav
Bronshjon
Mindre märgborre</t>
        </is>
      </c>
      <c r="S226">
        <f>HYPERLINK("https://klasma.github.io/Logging_2080/artfynd/A 62482-2022.xlsx", "A 62482-2022")</f>
        <v/>
      </c>
      <c r="T226">
        <f>HYPERLINK("https://klasma.github.io/Logging_2080/kartor/A 62482-2022.png", "A 62482-2022")</f>
        <v/>
      </c>
      <c r="V226">
        <f>HYPERLINK("https://klasma.github.io/Logging_2080/klagomål/A 62482-2022.docx", "A 62482-2022")</f>
        <v/>
      </c>
      <c r="W226">
        <f>HYPERLINK("https://klasma.github.io/Logging_2080/klagomålsmail/A 62482-2022.docx", "A 62482-2022")</f>
        <v/>
      </c>
      <c r="X226">
        <f>HYPERLINK("https://klasma.github.io/Logging_2080/tillsyn/A 62482-2022.docx", "A 62482-2022")</f>
        <v/>
      </c>
      <c r="Y226">
        <f>HYPERLINK("https://klasma.github.io/Logging_2080/tillsynsmail/A 62482-2022.docx", "A 62482-2022")</f>
        <v/>
      </c>
    </row>
    <row r="227" ht="15" customHeight="1">
      <c r="A227" t="inlineStr">
        <is>
          <t>A 5484-2023</t>
        </is>
      </c>
      <c r="B227" s="1" t="n">
        <v>44957</v>
      </c>
      <c r="C227" s="1" t="n">
        <v>45210</v>
      </c>
      <c r="D227" t="inlineStr">
        <is>
          <t>DALARNAS LÄN</t>
        </is>
      </c>
      <c r="E227" t="inlineStr">
        <is>
          <t>MORA</t>
        </is>
      </c>
      <c r="F227" t="inlineStr">
        <is>
          <t>Allmännings- och besparingsskogar</t>
        </is>
      </c>
      <c r="G227" t="n">
        <v>14.9</v>
      </c>
      <c r="H227" t="n">
        <v>0</v>
      </c>
      <c r="I227" t="n">
        <v>1</v>
      </c>
      <c r="J227" t="n">
        <v>0</v>
      </c>
      <c r="K227" t="n">
        <v>2</v>
      </c>
      <c r="L227" t="n">
        <v>0</v>
      </c>
      <c r="M227" t="n">
        <v>0</v>
      </c>
      <c r="N227" t="n">
        <v>0</v>
      </c>
      <c r="O227" t="n">
        <v>2</v>
      </c>
      <c r="P227" t="n">
        <v>2</v>
      </c>
      <c r="Q227" t="n">
        <v>3</v>
      </c>
      <c r="R227" s="2" t="inlineStr">
        <is>
          <t>Raggbock
Tallbarksvartbagge
Mindre märgborre</t>
        </is>
      </c>
      <c r="S227">
        <f>HYPERLINK("https://klasma.github.io/Logging_2062/artfynd/A 5484-2023.xlsx", "A 5484-2023")</f>
        <v/>
      </c>
      <c r="T227">
        <f>HYPERLINK("https://klasma.github.io/Logging_2062/kartor/A 5484-2023.png", "A 5484-2023")</f>
        <v/>
      </c>
      <c r="V227">
        <f>HYPERLINK("https://klasma.github.io/Logging_2062/klagomål/A 5484-2023.docx", "A 5484-2023")</f>
        <v/>
      </c>
      <c r="W227">
        <f>HYPERLINK("https://klasma.github.io/Logging_2062/klagomålsmail/A 5484-2023.docx", "A 5484-2023")</f>
        <v/>
      </c>
      <c r="X227">
        <f>HYPERLINK("https://klasma.github.io/Logging_2062/tillsyn/A 5484-2023.docx", "A 5484-2023")</f>
        <v/>
      </c>
      <c r="Y227">
        <f>HYPERLINK("https://klasma.github.io/Logging_2062/tillsynsmail/A 5484-2023.docx", "A 5484-2023")</f>
        <v/>
      </c>
    </row>
    <row r="228" ht="15" customHeight="1">
      <c r="A228" t="inlineStr">
        <is>
          <t>A 5045-2023</t>
        </is>
      </c>
      <c r="B228" s="1" t="n">
        <v>44958</v>
      </c>
      <c r="C228" s="1" t="n">
        <v>45210</v>
      </c>
      <c r="D228" t="inlineStr">
        <is>
          <t>DALARNAS LÄN</t>
        </is>
      </c>
      <c r="E228" t="inlineStr">
        <is>
          <t>GAGNEF</t>
        </is>
      </c>
      <c r="G228" t="n">
        <v>1.9</v>
      </c>
      <c r="H228" t="n">
        <v>0</v>
      </c>
      <c r="I228" t="n">
        <v>0</v>
      </c>
      <c r="J228" t="n">
        <v>2</v>
      </c>
      <c r="K228" t="n">
        <v>1</v>
      </c>
      <c r="L228" t="n">
        <v>0</v>
      </c>
      <c r="M228" t="n">
        <v>0</v>
      </c>
      <c r="N228" t="n">
        <v>0</v>
      </c>
      <c r="O228" t="n">
        <v>3</v>
      </c>
      <c r="P228" t="n">
        <v>1</v>
      </c>
      <c r="Q228" t="n">
        <v>3</v>
      </c>
      <c r="R228" s="2" t="inlineStr">
        <is>
          <t>Rynkskinn
Rosenticka
Ullticka</t>
        </is>
      </c>
      <c r="S228">
        <f>HYPERLINK("https://klasma.github.io/Logging_2026/artfynd/A 5045-2023.xlsx", "A 5045-2023")</f>
        <v/>
      </c>
      <c r="T228">
        <f>HYPERLINK("https://klasma.github.io/Logging_2026/kartor/A 5045-2023.png", "A 5045-2023")</f>
        <v/>
      </c>
      <c r="V228">
        <f>HYPERLINK("https://klasma.github.io/Logging_2026/klagomål/A 5045-2023.docx", "A 5045-2023")</f>
        <v/>
      </c>
      <c r="W228">
        <f>HYPERLINK("https://klasma.github.io/Logging_2026/klagomålsmail/A 5045-2023.docx", "A 5045-2023")</f>
        <v/>
      </c>
      <c r="X228">
        <f>HYPERLINK("https://klasma.github.io/Logging_2026/tillsyn/A 5045-2023.docx", "A 5045-2023")</f>
        <v/>
      </c>
      <c r="Y228">
        <f>HYPERLINK("https://klasma.github.io/Logging_2026/tillsynsmail/A 5045-2023.docx", "A 5045-2023")</f>
        <v/>
      </c>
    </row>
    <row r="229" ht="15" customHeight="1">
      <c r="A229" t="inlineStr">
        <is>
          <t>A 16311-2023</t>
        </is>
      </c>
      <c r="B229" s="1" t="n">
        <v>45028</v>
      </c>
      <c r="C229" s="1" t="n">
        <v>45210</v>
      </c>
      <c r="D229" t="inlineStr">
        <is>
          <t>DALARNAS LÄN</t>
        </is>
      </c>
      <c r="E229" t="inlineStr">
        <is>
          <t>FALUN</t>
        </is>
      </c>
      <c r="G229" t="n">
        <v>3.7</v>
      </c>
      <c r="H229" t="n">
        <v>0</v>
      </c>
      <c r="I229" t="n">
        <v>3</v>
      </c>
      <c r="J229" t="n">
        <v>0</v>
      </c>
      <c r="K229" t="n">
        <v>0</v>
      </c>
      <c r="L229" t="n">
        <v>0</v>
      </c>
      <c r="M229" t="n">
        <v>0</v>
      </c>
      <c r="N229" t="n">
        <v>0</v>
      </c>
      <c r="O229" t="n">
        <v>0</v>
      </c>
      <c r="P229" t="n">
        <v>0</v>
      </c>
      <c r="Q229" t="n">
        <v>3</v>
      </c>
      <c r="R229" s="2" t="inlineStr">
        <is>
          <t>Bollvitmossa
Dropptaggsvamp
Mindre märgborre</t>
        </is>
      </c>
      <c r="S229">
        <f>HYPERLINK("https://klasma.github.io/Logging_2080/artfynd/A 16311-2023.xlsx", "A 16311-2023")</f>
        <v/>
      </c>
      <c r="T229">
        <f>HYPERLINK("https://klasma.github.io/Logging_2080/kartor/A 16311-2023.png", "A 16311-2023")</f>
        <v/>
      </c>
      <c r="V229">
        <f>HYPERLINK("https://klasma.github.io/Logging_2080/klagomål/A 16311-2023.docx", "A 16311-2023")</f>
        <v/>
      </c>
      <c r="W229">
        <f>HYPERLINK("https://klasma.github.io/Logging_2080/klagomålsmail/A 16311-2023.docx", "A 16311-2023")</f>
        <v/>
      </c>
      <c r="X229">
        <f>HYPERLINK("https://klasma.github.io/Logging_2080/tillsyn/A 16311-2023.docx", "A 16311-2023")</f>
        <v/>
      </c>
      <c r="Y229">
        <f>HYPERLINK("https://klasma.github.io/Logging_2080/tillsynsmail/A 16311-2023.docx", "A 16311-2023")</f>
        <v/>
      </c>
    </row>
    <row r="230" ht="15" customHeight="1">
      <c r="A230" t="inlineStr">
        <is>
          <t>A 17137-2023</t>
        </is>
      </c>
      <c r="B230" s="1" t="n">
        <v>45034</v>
      </c>
      <c r="C230" s="1" t="n">
        <v>45210</v>
      </c>
      <c r="D230" t="inlineStr">
        <is>
          <t>DALARNAS LÄN</t>
        </is>
      </c>
      <c r="E230" t="inlineStr">
        <is>
          <t>FALUN</t>
        </is>
      </c>
      <c r="G230" t="n">
        <v>6</v>
      </c>
      <c r="H230" t="n">
        <v>1</v>
      </c>
      <c r="I230" t="n">
        <v>1</v>
      </c>
      <c r="J230" t="n">
        <v>1</v>
      </c>
      <c r="K230" t="n">
        <v>1</v>
      </c>
      <c r="L230" t="n">
        <v>0</v>
      </c>
      <c r="M230" t="n">
        <v>0</v>
      </c>
      <c r="N230" t="n">
        <v>0</v>
      </c>
      <c r="O230" t="n">
        <v>2</v>
      </c>
      <c r="P230" t="n">
        <v>1</v>
      </c>
      <c r="Q230" t="n">
        <v>3</v>
      </c>
      <c r="R230" s="2" t="inlineStr">
        <is>
          <t>Knärot
Garnlav
Dropptaggsvamp</t>
        </is>
      </c>
      <c r="S230">
        <f>HYPERLINK("https://klasma.github.io/Logging_2080/artfynd/A 17137-2023.xlsx", "A 17137-2023")</f>
        <v/>
      </c>
      <c r="T230">
        <f>HYPERLINK("https://klasma.github.io/Logging_2080/kartor/A 17137-2023.png", "A 17137-2023")</f>
        <v/>
      </c>
      <c r="U230">
        <f>HYPERLINK("https://klasma.github.io/Logging_2080/knärot/A 17137-2023.png", "A 17137-2023")</f>
        <v/>
      </c>
      <c r="V230">
        <f>HYPERLINK("https://klasma.github.io/Logging_2080/klagomål/A 17137-2023.docx", "A 17137-2023")</f>
        <v/>
      </c>
      <c r="W230">
        <f>HYPERLINK("https://klasma.github.io/Logging_2080/klagomålsmail/A 17137-2023.docx", "A 17137-2023")</f>
        <v/>
      </c>
      <c r="X230">
        <f>HYPERLINK("https://klasma.github.io/Logging_2080/tillsyn/A 17137-2023.docx", "A 17137-2023")</f>
        <v/>
      </c>
      <c r="Y230">
        <f>HYPERLINK("https://klasma.github.io/Logging_2080/tillsynsmail/A 17137-2023.docx", "A 17137-2023")</f>
        <v/>
      </c>
    </row>
    <row r="231" ht="15" customHeight="1">
      <c r="A231" t="inlineStr">
        <is>
          <t>A 20403-2023</t>
        </is>
      </c>
      <c r="B231" s="1" t="n">
        <v>45056</v>
      </c>
      <c r="C231" s="1" t="n">
        <v>45210</v>
      </c>
      <c r="D231" t="inlineStr">
        <is>
          <t>DALARNAS LÄN</t>
        </is>
      </c>
      <c r="E231" t="inlineStr">
        <is>
          <t>GAGNEF</t>
        </is>
      </c>
      <c r="G231" t="n">
        <v>9.6</v>
      </c>
      <c r="H231" t="n">
        <v>2</v>
      </c>
      <c r="I231" t="n">
        <v>2</v>
      </c>
      <c r="J231" t="n">
        <v>0</v>
      </c>
      <c r="K231" t="n">
        <v>0</v>
      </c>
      <c r="L231" t="n">
        <v>0</v>
      </c>
      <c r="M231" t="n">
        <v>0</v>
      </c>
      <c r="N231" t="n">
        <v>0</v>
      </c>
      <c r="O231" t="n">
        <v>0</v>
      </c>
      <c r="P231" t="n">
        <v>0</v>
      </c>
      <c r="Q231" t="n">
        <v>3</v>
      </c>
      <c r="R231" s="2" t="inlineStr">
        <is>
          <t>Tvåblad
Underviol
Fläcknycklar</t>
        </is>
      </c>
      <c r="S231">
        <f>HYPERLINK("https://klasma.github.io/Logging_2026/artfynd/A 20403-2023.xlsx", "A 20403-2023")</f>
        <v/>
      </c>
      <c r="T231">
        <f>HYPERLINK("https://klasma.github.io/Logging_2026/kartor/A 20403-2023.png", "A 20403-2023")</f>
        <v/>
      </c>
      <c r="V231">
        <f>HYPERLINK("https://klasma.github.io/Logging_2026/klagomål/A 20403-2023.docx", "A 20403-2023")</f>
        <v/>
      </c>
      <c r="W231">
        <f>HYPERLINK("https://klasma.github.io/Logging_2026/klagomålsmail/A 20403-2023.docx", "A 20403-2023")</f>
        <v/>
      </c>
      <c r="X231">
        <f>HYPERLINK("https://klasma.github.io/Logging_2026/tillsyn/A 20403-2023.docx", "A 20403-2023")</f>
        <v/>
      </c>
      <c r="Y231">
        <f>HYPERLINK("https://klasma.github.io/Logging_2026/tillsynsmail/A 20403-2023.docx", "A 20403-2023")</f>
        <v/>
      </c>
    </row>
    <row r="232" ht="15" customHeight="1">
      <c r="A232" t="inlineStr">
        <is>
          <t>A 22910-2023</t>
        </is>
      </c>
      <c r="B232" s="1" t="n">
        <v>45072</v>
      </c>
      <c r="C232" s="1" t="n">
        <v>45210</v>
      </c>
      <c r="D232" t="inlineStr">
        <is>
          <t>DALARNAS LÄN</t>
        </is>
      </c>
      <c r="E232" t="inlineStr">
        <is>
          <t>LUDVIKA</t>
        </is>
      </c>
      <c r="F232" t="inlineStr">
        <is>
          <t>Bergvik skog väst AB</t>
        </is>
      </c>
      <c r="G232" t="n">
        <v>3.6</v>
      </c>
      <c r="H232" t="n">
        <v>1</v>
      </c>
      <c r="I232" t="n">
        <v>2</v>
      </c>
      <c r="J232" t="n">
        <v>0</v>
      </c>
      <c r="K232" t="n">
        <v>1</v>
      </c>
      <c r="L232" t="n">
        <v>0</v>
      </c>
      <c r="M232" t="n">
        <v>0</v>
      </c>
      <c r="N232" t="n">
        <v>0</v>
      </c>
      <c r="O232" t="n">
        <v>1</v>
      </c>
      <c r="P232" t="n">
        <v>1</v>
      </c>
      <c r="Q232" t="n">
        <v>3</v>
      </c>
      <c r="R232" s="2" t="inlineStr">
        <is>
          <t>Knärot
Thomsons trägnagare
Vedticka</t>
        </is>
      </c>
      <c r="S232">
        <f>HYPERLINK("https://klasma.github.io/Logging_2085/artfynd/A 22910-2023.xlsx", "A 22910-2023")</f>
        <v/>
      </c>
      <c r="T232">
        <f>HYPERLINK("https://klasma.github.io/Logging_2085/kartor/A 22910-2023.png", "A 22910-2023")</f>
        <v/>
      </c>
      <c r="U232">
        <f>HYPERLINK("https://klasma.github.io/Logging_2085/knärot/A 22910-2023.png", "A 22910-2023")</f>
        <v/>
      </c>
      <c r="V232">
        <f>HYPERLINK("https://klasma.github.io/Logging_2085/klagomål/A 22910-2023.docx", "A 22910-2023")</f>
        <v/>
      </c>
      <c r="W232">
        <f>HYPERLINK("https://klasma.github.io/Logging_2085/klagomålsmail/A 22910-2023.docx", "A 22910-2023")</f>
        <v/>
      </c>
      <c r="X232">
        <f>HYPERLINK("https://klasma.github.io/Logging_2085/tillsyn/A 22910-2023.docx", "A 22910-2023")</f>
        <v/>
      </c>
      <c r="Y232">
        <f>HYPERLINK("https://klasma.github.io/Logging_2085/tillsynsmail/A 22910-2023.docx", "A 22910-2023")</f>
        <v/>
      </c>
    </row>
    <row r="233" ht="15" customHeight="1">
      <c r="A233" t="inlineStr">
        <is>
          <t>A 22913-2023</t>
        </is>
      </c>
      <c r="B233" s="1" t="n">
        <v>45072</v>
      </c>
      <c r="C233" s="1" t="n">
        <v>45210</v>
      </c>
      <c r="D233" t="inlineStr">
        <is>
          <t>DALARNAS LÄN</t>
        </is>
      </c>
      <c r="E233" t="inlineStr">
        <is>
          <t>BORLÄNGE</t>
        </is>
      </c>
      <c r="G233" t="n">
        <v>3.2</v>
      </c>
      <c r="H233" t="n">
        <v>1</v>
      </c>
      <c r="I233" t="n">
        <v>0</v>
      </c>
      <c r="J233" t="n">
        <v>1</v>
      </c>
      <c r="K233" t="n">
        <v>2</v>
      </c>
      <c r="L233" t="n">
        <v>0</v>
      </c>
      <c r="M233" t="n">
        <v>0</v>
      </c>
      <c r="N233" t="n">
        <v>0</v>
      </c>
      <c r="O233" t="n">
        <v>3</v>
      </c>
      <c r="P233" t="n">
        <v>2</v>
      </c>
      <c r="Q233" t="n">
        <v>3</v>
      </c>
      <c r="R233" s="2" t="inlineStr">
        <is>
          <t>Knärot
Rynkskinn
Ullticka</t>
        </is>
      </c>
      <c r="S233">
        <f>HYPERLINK("https://klasma.github.io/Logging_2081/artfynd/A 22913-2023.xlsx", "A 22913-2023")</f>
        <v/>
      </c>
      <c r="T233">
        <f>HYPERLINK("https://klasma.github.io/Logging_2081/kartor/A 22913-2023.png", "A 22913-2023")</f>
        <v/>
      </c>
      <c r="U233">
        <f>HYPERLINK("https://klasma.github.io/Logging_2081/knärot/A 22913-2023.png", "A 22913-2023")</f>
        <v/>
      </c>
      <c r="V233">
        <f>HYPERLINK("https://klasma.github.io/Logging_2081/klagomål/A 22913-2023.docx", "A 22913-2023")</f>
        <v/>
      </c>
      <c r="W233">
        <f>HYPERLINK("https://klasma.github.io/Logging_2081/klagomålsmail/A 22913-2023.docx", "A 22913-2023")</f>
        <v/>
      </c>
      <c r="X233">
        <f>HYPERLINK("https://klasma.github.io/Logging_2081/tillsyn/A 22913-2023.docx", "A 22913-2023")</f>
        <v/>
      </c>
      <c r="Y233">
        <f>HYPERLINK("https://klasma.github.io/Logging_2081/tillsynsmail/A 22913-2023.docx", "A 22913-2023")</f>
        <v/>
      </c>
    </row>
    <row r="234" ht="15" customHeight="1">
      <c r="A234" t="inlineStr">
        <is>
          <t>A 28119-2023</t>
        </is>
      </c>
      <c r="B234" s="1" t="n">
        <v>45099</v>
      </c>
      <c r="C234" s="1" t="n">
        <v>45210</v>
      </c>
      <c r="D234" t="inlineStr">
        <is>
          <t>DALARNAS LÄN</t>
        </is>
      </c>
      <c r="E234" t="inlineStr">
        <is>
          <t>LUDVIKA</t>
        </is>
      </c>
      <c r="F234" t="inlineStr">
        <is>
          <t>Bergvik skog väst AB</t>
        </is>
      </c>
      <c r="G234" t="n">
        <v>7.8</v>
      </c>
      <c r="H234" t="n">
        <v>1</v>
      </c>
      <c r="I234" t="n">
        <v>1</v>
      </c>
      <c r="J234" t="n">
        <v>1</v>
      </c>
      <c r="K234" t="n">
        <v>0</v>
      </c>
      <c r="L234" t="n">
        <v>0</v>
      </c>
      <c r="M234" t="n">
        <v>0</v>
      </c>
      <c r="N234" t="n">
        <v>0</v>
      </c>
      <c r="O234" t="n">
        <v>1</v>
      </c>
      <c r="P234" t="n">
        <v>0</v>
      </c>
      <c r="Q234" t="n">
        <v>3</v>
      </c>
      <c r="R234" s="2" t="inlineStr">
        <is>
          <t>Skorpgelélav
Bårdlav
Nattviol</t>
        </is>
      </c>
      <c r="S234">
        <f>HYPERLINK("https://klasma.github.io/Logging_2085/artfynd/A 28119-2023.xlsx", "A 28119-2023")</f>
        <v/>
      </c>
      <c r="T234">
        <f>HYPERLINK("https://klasma.github.io/Logging_2085/kartor/A 28119-2023.png", "A 28119-2023")</f>
        <v/>
      </c>
      <c r="V234">
        <f>HYPERLINK("https://klasma.github.io/Logging_2085/klagomål/A 28119-2023.docx", "A 28119-2023")</f>
        <v/>
      </c>
      <c r="W234">
        <f>HYPERLINK("https://klasma.github.io/Logging_2085/klagomålsmail/A 28119-2023.docx", "A 28119-2023")</f>
        <v/>
      </c>
      <c r="X234">
        <f>HYPERLINK("https://klasma.github.io/Logging_2085/tillsyn/A 28119-2023.docx", "A 28119-2023")</f>
        <v/>
      </c>
      <c r="Y234">
        <f>HYPERLINK("https://klasma.github.io/Logging_2085/tillsynsmail/A 28119-2023.docx", "A 28119-2023")</f>
        <v/>
      </c>
    </row>
    <row r="235" ht="15" customHeight="1">
      <c r="A235" t="inlineStr">
        <is>
          <t>A 29925-2023</t>
        </is>
      </c>
      <c r="B235" s="1" t="n">
        <v>45107</v>
      </c>
      <c r="C235" s="1" t="n">
        <v>45210</v>
      </c>
      <c r="D235" t="inlineStr">
        <is>
          <t>DALARNAS LÄN</t>
        </is>
      </c>
      <c r="E235" t="inlineStr">
        <is>
          <t>SÄTER</t>
        </is>
      </c>
      <c r="F235" t="inlineStr">
        <is>
          <t>Kommuner</t>
        </is>
      </c>
      <c r="G235" t="n">
        <v>9.199999999999999</v>
      </c>
      <c r="H235" t="n">
        <v>1</v>
      </c>
      <c r="I235" t="n">
        <v>1</v>
      </c>
      <c r="J235" t="n">
        <v>1</v>
      </c>
      <c r="K235" t="n">
        <v>0</v>
      </c>
      <c r="L235" t="n">
        <v>0</v>
      </c>
      <c r="M235" t="n">
        <v>0</v>
      </c>
      <c r="N235" t="n">
        <v>0</v>
      </c>
      <c r="O235" t="n">
        <v>1</v>
      </c>
      <c r="P235" t="n">
        <v>0</v>
      </c>
      <c r="Q235" t="n">
        <v>3</v>
      </c>
      <c r="R235" s="2" t="inlineStr">
        <is>
          <t>Kandelabersvamp
Svart trolldruva
Mattlummer</t>
        </is>
      </c>
      <c r="S235">
        <f>HYPERLINK("https://klasma.github.io/Logging_2082/artfynd/A 29925-2023.xlsx", "A 29925-2023")</f>
        <v/>
      </c>
      <c r="T235">
        <f>HYPERLINK("https://klasma.github.io/Logging_2082/kartor/A 29925-2023.png", "A 29925-2023")</f>
        <v/>
      </c>
      <c r="V235">
        <f>HYPERLINK("https://klasma.github.io/Logging_2082/klagomål/A 29925-2023.docx", "A 29925-2023")</f>
        <v/>
      </c>
      <c r="W235">
        <f>HYPERLINK("https://klasma.github.io/Logging_2082/klagomålsmail/A 29925-2023.docx", "A 29925-2023")</f>
        <v/>
      </c>
      <c r="X235">
        <f>HYPERLINK("https://klasma.github.io/Logging_2082/tillsyn/A 29925-2023.docx", "A 29925-2023")</f>
        <v/>
      </c>
      <c r="Y235">
        <f>HYPERLINK("https://klasma.github.io/Logging_2082/tillsynsmail/A 29925-2023.docx", "A 29925-2023")</f>
        <v/>
      </c>
    </row>
    <row r="236" ht="15" customHeight="1">
      <c r="A236" t="inlineStr">
        <is>
          <t>A 30522-2023</t>
        </is>
      </c>
      <c r="B236" s="1" t="n">
        <v>45111</v>
      </c>
      <c r="C236" s="1" t="n">
        <v>45210</v>
      </c>
      <c r="D236" t="inlineStr">
        <is>
          <t>DALARNAS LÄN</t>
        </is>
      </c>
      <c r="E236" t="inlineStr">
        <is>
          <t>RÄTTVIK</t>
        </is>
      </c>
      <c r="G236" t="n">
        <v>20.7</v>
      </c>
      <c r="H236" t="n">
        <v>0</v>
      </c>
      <c r="I236" t="n">
        <v>3</v>
      </c>
      <c r="J236" t="n">
        <v>0</v>
      </c>
      <c r="K236" t="n">
        <v>0</v>
      </c>
      <c r="L236" t="n">
        <v>0</v>
      </c>
      <c r="M236" t="n">
        <v>0</v>
      </c>
      <c r="N236" t="n">
        <v>0</v>
      </c>
      <c r="O236" t="n">
        <v>0</v>
      </c>
      <c r="P236" t="n">
        <v>0</v>
      </c>
      <c r="Q236" t="n">
        <v>3</v>
      </c>
      <c r="R236" s="2" t="inlineStr">
        <is>
          <t>Bronshjon
Bårdlav
Stuplav</t>
        </is>
      </c>
      <c r="S236">
        <f>HYPERLINK("https://klasma.github.io/Logging_2031/artfynd/A 30522-2023.xlsx", "A 30522-2023")</f>
        <v/>
      </c>
      <c r="T236">
        <f>HYPERLINK("https://klasma.github.io/Logging_2031/kartor/A 30522-2023.png", "A 30522-2023")</f>
        <v/>
      </c>
      <c r="V236">
        <f>HYPERLINK("https://klasma.github.io/Logging_2031/klagomål/A 30522-2023.docx", "A 30522-2023")</f>
        <v/>
      </c>
      <c r="W236">
        <f>HYPERLINK("https://klasma.github.io/Logging_2031/klagomålsmail/A 30522-2023.docx", "A 30522-2023")</f>
        <v/>
      </c>
      <c r="X236">
        <f>HYPERLINK("https://klasma.github.io/Logging_2031/tillsyn/A 30522-2023.docx", "A 30522-2023")</f>
        <v/>
      </c>
      <c r="Y236">
        <f>HYPERLINK("https://klasma.github.io/Logging_2031/tillsynsmail/A 30522-2023.docx", "A 30522-2023")</f>
        <v/>
      </c>
    </row>
    <row r="237" ht="15" customHeight="1">
      <c r="A237" t="inlineStr">
        <is>
          <t>A 32403-2023</t>
        </is>
      </c>
      <c r="B237" s="1" t="n">
        <v>45120</v>
      </c>
      <c r="C237" s="1" t="n">
        <v>45210</v>
      </c>
      <c r="D237" t="inlineStr">
        <is>
          <t>DALARNAS LÄN</t>
        </is>
      </c>
      <c r="E237" t="inlineStr">
        <is>
          <t>ÄLVDALEN</t>
        </is>
      </c>
      <c r="F237" t="inlineStr">
        <is>
          <t>Sveaskog</t>
        </is>
      </c>
      <c r="G237" t="n">
        <v>3</v>
      </c>
      <c r="H237" t="n">
        <v>0</v>
      </c>
      <c r="I237" t="n">
        <v>0</v>
      </c>
      <c r="J237" t="n">
        <v>3</v>
      </c>
      <c r="K237" t="n">
        <v>0</v>
      </c>
      <c r="L237" t="n">
        <v>0</v>
      </c>
      <c r="M237" t="n">
        <v>0</v>
      </c>
      <c r="N237" t="n">
        <v>0</v>
      </c>
      <c r="O237" t="n">
        <v>3</v>
      </c>
      <c r="P237" t="n">
        <v>0</v>
      </c>
      <c r="Q237" t="n">
        <v>3</v>
      </c>
      <c r="R237" s="2" t="inlineStr">
        <is>
          <t>Kolflarnlav
Vedflamlav
Vedskivlav</t>
        </is>
      </c>
      <c r="S237">
        <f>HYPERLINK("https://klasma.github.io/Logging_2039/artfynd/A 32403-2023.xlsx", "A 32403-2023")</f>
        <v/>
      </c>
      <c r="T237">
        <f>HYPERLINK("https://klasma.github.io/Logging_2039/kartor/A 32403-2023.png", "A 32403-2023")</f>
        <v/>
      </c>
      <c r="V237">
        <f>HYPERLINK("https://klasma.github.io/Logging_2039/klagomål/A 32403-2023.docx", "A 32403-2023")</f>
        <v/>
      </c>
      <c r="W237">
        <f>HYPERLINK("https://klasma.github.io/Logging_2039/klagomålsmail/A 32403-2023.docx", "A 32403-2023")</f>
        <v/>
      </c>
      <c r="X237">
        <f>HYPERLINK("https://klasma.github.io/Logging_2039/tillsyn/A 32403-2023.docx", "A 32403-2023")</f>
        <v/>
      </c>
      <c r="Y237">
        <f>HYPERLINK("https://klasma.github.io/Logging_2039/tillsynsmail/A 32403-2023.docx", "A 32403-2023")</f>
        <v/>
      </c>
    </row>
    <row r="238" ht="15" customHeight="1">
      <c r="A238" t="inlineStr">
        <is>
          <t>A 35141-2023</t>
        </is>
      </c>
      <c r="B238" s="1" t="n">
        <v>45145</v>
      </c>
      <c r="C238" s="1" t="n">
        <v>45210</v>
      </c>
      <c r="D238" t="inlineStr">
        <is>
          <t>DALARNAS LÄN</t>
        </is>
      </c>
      <c r="E238" t="inlineStr">
        <is>
          <t>ÄLVDALEN</t>
        </is>
      </c>
      <c r="F238" t="inlineStr">
        <is>
          <t>Sveaskog</t>
        </is>
      </c>
      <c r="G238" t="n">
        <v>1.8</v>
      </c>
      <c r="H238" t="n">
        <v>1</v>
      </c>
      <c r="I238" t="n">
        <v>0</v>
      </c>
      <c r="J238" t="n">
        <v>3</v>
      </c>
      <c r="K238" t="n">
        <v>0</v>
      </c>
      <c r="L238" t="n">
        <v>0</v>
      </c>
      <c r="M238" t="n">
        <v>0</v>
      </c>
      <c r="N238" t="n">
        <v>0</v>
      </c>
      <c r="O238" t="n">
        <v>3</v>
      </c>
      <c r="P238" t="n">
        <v>0</v>
      </c>
      <c r="Q238" t="n">
        <v>3</v>
      </c>
      <c r="R238" s="2" t="inlineStr">
        <is>
          <t>Garnlav
Kolflarnlav
Varglav</t>
        </is>
      </c>
      <c r="S238">
        <f>HYPERLINK("https://klasma.github.io/Logging_2039/artfynd/A 35141-2023.xlsx", "A 35141-2023")</f>
        <v/>
      </c>
      <c r="T238">
        <f>HYPERLINK("https://klasma.github.io/Logging_2039/kartor/A 35141-2023.png", "A 35141-2023")</f>
        <v/>
      </c>
      <c r="V238">
        <f>HYPERLINK("https://klasma.github.io/Logging_2039/klagomål/A 35141-2023.docx", "A 35141-2023")</f>
        <v/>
      </c>
      <c r="W238">
        <f>HYPERLINK("https://klasma.github.io/Logging_2039/klagomålsmail/A 35141-2023.docx", "A 35141-2023")</f>
        <v/>
      </c>
      <c r="X238">
        <f>HYPERLINK("https://klasma.github.io/Logging_2039/tillsyn/A 35141-2023.docx", "A 35141-2023")</f>
        <v/>
      </c>
      <c r="Y238">
        <f>HYPERLINK("https://klasma.github.io/Logging_2039/tillsynsmail/A 35141-2023.docx", "A 35141-2023")</f>
        <v/>
      </c>
    </row>
    <row r="239" ht="15" customHeight="1">
      <c r="A239" t="inlineStr">
        <is>
          <t>A 38542-2018</t>
        </is>
      </c>
      <c r="B239" s="1" t="n">
        <v>43339</v>
      </c>
      <c r="C239" s="1" t="n">
        <v>45210</v>
      </c>
      <c r="D239" t="inlineStr">
        <is>
          <t>DALARNAS LÄN</t>
        </is>
      </c>
      <c r="E239" t="inlineStr">
        <is>
          <t>MALUNG-SÄLEN</t>
        </is>
      </c>
      <c r="F239" t="inlineStr">
        <is>
          <t>Allmännings- och besparingsskogar</t>
        </is>
      </c>
      <c r="G239" t="n">
        <v>17.5</v>
      </c>
      <c r="H239" t="n">
        <v>0</v>
      </c>
      <c r="I239" t="n">
        <v>0</v>
      </c>
      <c r="J239" t="n">
        <v>2</v>
      </c>
      <c r="K239" t="n">
        <v>0</v>
      </c>
      <c r="L239" t="n">
        <v>0</v>
      </c>
      <c r="M239" t="n">
        <v>0</v>
      </c>
      <c r="N239" t="n">
        <v>0</v>
      </c>
      <c r="O239" t="n">
        <v>2</v>
      </c>
      <c r="P239" t="n">
        <v>0</v>
      </c>
      <c r="Q239" t="n">
        <v>2</v>
      </c>
      <c r="R239" s="2" t="inlineStr">
        <is>
          <t>Vedflamlav
Vedskivlav</t>
        </is>
      </c>
      <c r="S239">
        <f>HYPERLINK("https://klasma.github.io/Logging_2023/artfynd/A 38542-2018.xlsx", "A 38542-2018")</f>
        <v/>
      </c>
      <c r="T239">
        <f>HYPERLINK("https://klasma.github.io/Logging_2023/kartor/A 38542-2018.png", "A 38542-2018")</f>
        <v/>
      </c>
      <c r="V239">
        <f>HYPERLINK("https://klasma.github.io/Logging_2023/klagomål/A 38542-2018.docx", "A 38542-2018")</f>
        <v/>
      </c>
      <c r="W239">
        <f>HYPERLINK("https://klasma.github.io/Logging_2023/klagomålsmail/A 38542-2018.docx", "A 38542-2018")</f>
        <v/>
      </c>
      <c r="X239">
        <f>HYPERLINK("https://klasma.github.io/Logging_2023/tillsyn/A 38542-2018.docx", "A 38542-2018")</f>
        <v/>
      </c>
      <c r="Y239">
        <f>HYPERLINK("https://klasma.github.io/Logging_2023/tillsynsmail/A 38542-2018.docx", "A 38542-2018")</f>
        <v/>
      </c>
    </row>
    <row r="240" ht="15" customHeight="1">
      <c r="A240" t="inlineStr">
        <is>
          <t>A 45007-2018</t>
        </is>
      </c>
      <c r="B240" s="1" t="n">
        <v>43362</v>
      </c>
      <c r="C240" s="1" t="n">
        <v>45210</v>
      </c>
      <c r="D240" t="inlineStr">
        <is>
          <t>DALARNAS LÄN</t>
        </is>
      </c>
      <c r="E240" t="inlineStr">
        <is>
          <t>ÄLVDALEN</t>
        </is>
      </c>
      <c r="F240" t="inlineStr">
        <is>
          <t>Övriga statliga verk och myndigheter</t>
        </is>
      </c>
      <c r="G240" t="n">
        <v>94.09999999999999</v>
      </c>
      <c r="H240" t="n">
        <v>0</v>
      </c>
      <c r="I240" t="n">
        <v>1</v>
      </c>
      <c r="J240" t="n">
        <v>1</v>
      </c>
      <c r="K240" t="n">
        <v>0</v>
      </c>
      <c r="L240" t="n">
        <v>0</v>
      </c>
      <c r="M240" t="n">
        <v>0</v>
      </c>
      <c r="N240" t="n">
        <v>0</v>
      </c>
      <c r="O240" t="n">
        <v>1</v>
      </c>
      <c r="P240" t="n">
        <v>0</v>
      </c>
      <c r="Q240" t="n">
        <v>2</v>
      </c>
      <c r="R240" s="2" t="inlineStr">
        <is>
          <t>Skrovellav
Stuplav</t>
        </is>
      </c>
      <c r="S240">
        <f>HYPERLINK("https://klasma.github.io/Logging_2039/artfynd/A 45007-2018.xlsx", "A 45007-2018")</f>
        <v/>
      </c>
      <c r="T240">
        <f>HYPERLINK("https://klasma.github.io/Logging_2039/kartor/A 45007-2018.png", "A 45007-2018")</f>
        <v/>
      </c>
      <c r="V240">
        <f>HYPERLINK("https://klasma.github.io/Logging_2039/klagomål/A 45007-2018.docx", "A 45007-2018")</f>
        <v/>
      </c>
      <c r="W240">
        <f>HYPERLINK("https://klasma.github.io/Logging_2039/klagomålsmail/A 45007-2018.docx", "A 45007-2018")</f>
        <v/>
      </c>
      <c r="X240">
        <f>HYPERLINK("https://klasma.github.io/Logging_2039/tillsyn/A 45007-2018.docx", "A 45007-2018")</f>
        <v/>
      </c>
      <c r="Y240">
        <f>HYPERLINK("https://klasma.github.io/Logging_2039/tillsynsmail/A 45007-2018.docx", "A 45007-2018")</f>
        <v/>
      </c>
    </row>
    <row r="241" ht="15" customHeight="1">
      <c r="A241" t="inlineStr">
        <is>
          <t>A 66895-2018</t>
        </is>
      </c>
      <c r="B241" s="1" t="n">
        <v>43431</v>
      </c>
      <c r="C241" s="1" t="n">
        <v>45210</v>
      </c>
      <c r="D241" t="inlineStr">
        <is>
          <t>DALARNAS LÄN</t>
        </is>
      </c>
      <c r="E241" t="inlineStr">
        <is>
          <t>BORLÄNGE</t>
        </is>
      </c>
      <c r="G241" t="n">
        <v>10.6</v>
      </c>
      <c r="H241" t="n">
        <v>1</v>
      </c>
      <c r="I241" t="n">
        <v>0</v>
      </c>
      <c r="J241" t="n">
        <v>1</v>
      </c>
      <c r="K241" t="n">
        <v>0</v>
      </c>
      <c r="L241" t="n">
        <v>0</v>
      </c>
      <c r="M241" t="n">
        <v>1</v>
      </c>
      <c r="N241" t="n">
        <v>0</v>
      </c>
      <c r="O241" t="n">
        <v>2</v>
      </c>
      <c r="P241" t="n">
        <v>1</v>
      </c>
      <c r="Q241" t="n">
        <v>2</v>
      </c>
      <c r="R241" s="2" t="inlineStr">
        <is>
          <t>Skogsalm
Spillkråka</t>
        </is>
      </c>
      <c r="S241">
        <f>HYPERLINK("https://klasma.github.io/Logging_2081/artfynd/A 66895-2018.xlsx", "A 66895-2018")</f>
        <v/>
      </c>
      <c r="T241">
        <f>HYPERLINK("https://klasma.github.io/Logging_2081/kartor/A 66895-2018.png", "A 66895-2018")</f>
        <v/>
      </c>
      <c r="V241">
        <f>HYPERLINK("https://klasma.github.io/Logging_2081/klagomål/A 66895-2018.docx", "A 66895-2018")</f>
        <v/>
      </c>
      <c r="W241">
        <f>HYPERLINK("https://klasma.github.io/Logging_2081/klagomålsmail/A 66895-2018.docx", "A 66895-2018")</f>
        <v/>
      </c>
      <c r="X241">
        <f>HYPERLINK("https://klasma.github.io/Logging_2081/tillsyn/A 66895-2018.docx", "A 66895-2018")</f>
        <v/>
      </c>
      <c r="Y241">
        <f>HYPERLINK("https://klasma.github.io/Logging_2081/tillsynsmail/A 66895-2018.docx", "A 66895-2018")</f>
        <v/>
      </c>
    </row>
    <row r="242" ht="15" customHeight="1">
      <c r="A242" t="inlineStr">
        <is>
          <t>A 1114-2019</t>
        </is>
      </c>
      <c r="B242" s="1" t="n">
        <v>43472</v>
      </c>
      <c r="C242" s="1" t="n">
        <v>45210</v>
      </c>
      <c r="D242" t="inlineStr">
        <is>
          <t>DALARNAS LÄN</t>
        </is>
      </c>
      <c r="E242" t="inlineStr">
        <is>
          <t>MALUNG-SÄLEN</t>
        </is>
      </c>
      <c r="G242" t="n">
        <v>3.6</v>
      </c>
      <c r="H242" t="n">
        <v>1</v>
      </c>
      <c r="I242" t="n">
        <v>0</v>
      </c>
      <c r="J242" t="n">
        <v>2</v>
      </c>
      <c r="K242" t="n">
        <v>0</v>
      </c>
      <c r="L242" t="n">
        <v>0</v>
      </c>
      <c r="M242" t="n">
        <v>0</v>
      </c>
      <c r="N242" t="n">
        <v>0</v>
      </c>
      <c r="O242" t="n">
        <v>2</v>
      </c>
      <c r="P242" t="n">
        <v>0</v>
      </c>
      <c r="Q242" t="n">
        <v>2</v>
      </c>
      <c r="R242" s="2" t="inlineStr">
        <is>
          <t>Spillkråka
Tallticka</t>
        </is>
      </c>
      <c r="S242">
        <f>HYPERLINK("https://klasma.github.io/Logging_2023/artfynd/A 1114-2019.xlsx", "A 1114-2019")</f>
        <v/>
      </c>
      <c r="T242">
        <f>HYPERLINK("https://klasma.github.io/Logging_2023/kartor/A 1114-2019.png", "A 1114-2019")</f>
        <v/>
      </c>
      <c r="V242">
        <f>HYPERLINK("https://klasma.github.io/Logging_2023/klagomål/A 1114-2019.docx", "A 1114-2019")</f>
        <v/>
      </c>
      <c r="W242">
        <f>HYPERLINK("https://klasma.github.io/Logging_2023/klagomålsmail/A 1114-2019.docx", "A 1114-2019")</f>
        <v/>
      </c>
      <c r="X242">
        <f>HYPERLINK("https://klasma.github.io/Logging_2023/tillsyn/A 1114-2019.docx", "A 1114-2019")</f>
        <v/>
      </c>
      <c r="Y242">
        <f>HYPERLINK("https://klasma.github.io/Logging_2023/tillsynsmail/A 1114-2019.docx", "A 1114-2019")</f>
        <v/>
      </c>
    </row>
    <row r="243" ht="15" customHeight="1">
      <c r="A243" t="inlineStr">
        <is>
          <t>A 4540-2019</t>
        </is>
      </c>
      <c r="B243" s="1" t="n">
        <v>43486</v>
      </c>
      <c r="C243" s="1" t="n">
        <v>45210</v>
      </c>
      <c r="D243" t="inlineStr">
        <is>
          <t>DALARNAS LÄN</t>
        </is>
      </c>
      <c r="E243" t="inlineStr">
        <is>
          <t>HEDEMORA</t>
        </is>
      </c>
      <c r="F243" t="inlineStr">
        <is>
          <t>Sveaskog</t>
        </is>
      </c>
      <c r="G243" t="n">
        <v>8.199999999999999</v>
      </c>
      <c r="H243" t="n">
        <v>2</v>
      </c>
      <c r="I243" t="n">
        <v>0</v>
      </c>
      <c r="J243" t="n">
        <v>2</v>
      </c>
      <c r="K243" t="n">
        <v>0</v>
      </c>
      <c r="L243" t="n">
        <v>0</v>
      </c>
      <c r="M243" t="n">
        <v>0</v>
      </c>
      <c r="N243" t="n">
        <v>0</v>
      </c>
      <c r="O243" t="n">
        <v>2</v>
      </c>
      <c r="P243" t="n">
        <v>0</v>
      </c>
      <c r="Q243" t="n">
        <v>2</v>
      </c>
      <c r="R243" s="2" t="inlineStr">
        <is>
          <t>Spillkråka
Utter</t>
        </is>
      </c>
      <c r="S243">
        <f>HYPERLINK("https://klasma.github.io/Logging_2083/artfynd/A 4540-2019.xlsx", "A 4540-2019")</f>
        <v/>
      </c>
      <c r="T243">
        <f>HYPERLINK("https://klasma.github.io/Logging_2083/kartor/A 4540-2019.png", "A 4540-2019")</f>
        <v/>
      </c>
      <c r="V243">
        <f>HYPERLINK("https://klasma.github.io/Logging_2083/klagomål/A 4540-2019.docx", "A 4540-2019")</f>
        <v/>
      </c>
      <c r="W243">
        <f>HYPERLINK("https://klasma.github.io/Logging_2083/klagomålsmail/A 4540-2019.docx", "A 4540-2019")</f>
        <v/>
      </c>
      <c r="X243">
        <f>HYPERLINK("https://klasma.github.io/Logging_2083/tillsyn/A 4540-2019.docx", "A 4540-2019")</f>
        <v/>
      </c>
      <c r="Y243">
        <f>HYPERLINK("https://klasma.github.io/Logging_2083/tillsynsmail/A 4540-2019.docx", "A 4540-2019")</f>
        <v/>
      </c>
    </row>
    <row r="244" ht="15" customHeight="1">
      <c r="A244" t="inlineStr">
        <is>
          <t>A 16524-2019</t>
        </is>
      </c>
      <c r="B244" s="1" t="n">
        <v>43546</v>
      </c>
      <c r="C244" s="1" t="n">
        <v>45210</v>
      </c>
      <c r="D244" t="inlineStr">
        <is>
          <t>DALARNAS LÄN</t>
        </is>
      </c>
      <c r="E244" t="inlineStr">
        <is>
          <t>VANSBRO</t>
        </is>
      </c>
      <c r="G244" t="n">
        <v>4.6</v>
      </c>
      <c r="H244" t="n">
        <v>0</v>
      </c>
      <c r="I244" t="n">
        <v>1</v>
      </c>
      <c r="J244" t="n">
        <v>1</v>
      </c>
      <c r="K244" t="n">
        <v>0</v>
      </c>
      <c r="L244" t="n">
        <v>0</v>
      </c>
      <c r="M244" t="n">
        <v>0</v>
      </c>
      <c r="N244" t="n">
        <v>0</v>
      </c>
      <c r="O244" t="n">
        <v>1</v>
      </c>
      <c r="P244" t="n">
        <v>0</v>
      </c>
      <c r="Q244" t="n">
        <v>2</v>
      </c>
      <c r="R244" s="2" t="inlineStr">
        <is>
          <t>Gammelgransskål
Barkkornlav</t>
        </is>
      </c>
      <c r="S244">
        <f>HYPERLINK("https://klasma.github.io/Logging_2021/artfynd/A 16524-2019.xlsx", "A 16524-2019")</f>
        <v/>
      </c>
      <c r="T244">
        <f>HYPERLINK("https://klasma.github.io/Logging_2021/kartor/A 16524-2019.png", "A 16524-2019")</f>
        <v/>
      </c>
      <c r="V244">
        <f>HYPERLINK("https://klasma.github.io/Logging_2021/klagomål/A 16524-2019.docx", "A 16524-2019")</f>
        <v/>
      </c>
      <c r="W244">
        <f>HYPERLINK("https://klasma.github.io/Logging_2021/klagomålsmail/A 16524-2019.docx", "A 16524-2019")</f>
        <v/>
      </c>
      <c r="X244">
        <f>HYPERLINK("https://klasma.github.io/Logging_2021/tillsyn/A 16524-2019.docx", "A 16524-2019")</f>
        <v/>
      </c>
      <c r="Y244">
        <f>HYPERLINK("https://klasma.github.io/Logging_2021/tillsynsmail/A 16524-2019.docx", "A 16524-2019")</f>
        <v/>
      </c>
    </row>
    <row r="245" ht="15" customHeight="1">
      <c r="A245" t="inlineStr">
        <is>
          <t>A 33185-2019</t>
        </is>
      </c>
      <c r="B245" s="1" t="n">
        <v>43649</v>
      </c>
      <c r="C245" s="1" t="n">
        <v>45210</v>
      </c>
      <c r="D245" t="inlineStr">
        <is>
          <t>DALARNAS LÄN</t>
        </is>
      </c>
      <c r="E245" t="inlineStr">
        <is>
          <t>MORA</t>
        </is>
      </c>
      <c r="G245" t="n">
        <v>8</v>
      </c>
      <c r="H245" t="n">
        <v>0</v>
      </c>
      <c r="I245" t="n">
        <v>0</v>
      </c>
      <c r="J245" t="n">
        <v>2</v>
      </c>
      <c r="K245" t="n">
        <v>0</v>
      </c>
      <c r="L245" t="n">
        <v>0</v>
      </c>
      <c r="M245" t="n">
        <v>0</v>
      </c>
      <c r="N245" t="n">
        <v>0</v>
      </c>
      <c r="O245" t="n">
        <v>2</v>
      </c>
      <c r="P245" t="n">
        <v>0</v>
      </c>
      <c r="Q245" t="n">
        <v>2</v>
      </c>
      <c r="R245" s="2" t="inlineStr">
        <is>
          <t>Mörk kolflarnlav
Vedskivlav</t>
        </is>
      </c>
      <c r="S245">
        <f>HYPERLINK("https://klasma.github.io/Logging_2062/artfynd/A 33185-2019.xlsx", "A 33185-2019")</f>
        <v/>
      </c>
      <c r="T245">
        <f>HYPERLINK("https://klasma.github.io/Logging_2062/kartor/A 33185-2019.png", "A 33185-2019")</f>
        <v/>
      </c>
      <c r="V245">
        <f>HYPERLINK("https://klasma.github.io/Logging_2062/klagomål/A 33185-2019.docx", "A 33185-2019")</f>
        <v/>
      </c>
      <c r="W245">
        <f>HYPERLINK("https://klasma.github.io/Logging_2062/klagomålsmail/A 33185-2019.docx", "A 33185-2019")</f>
        <v/>
      </c>
      <c r="X245">
        <f>HYPERLINK("https://klasma.github.io/Logging_2062/tillsyn/A 33185-2019.docx", "A 33185-2019")</f>
        <v/>
      </c>
      <c r="Y245">
        <f>HYPERLINK("https://klasma.github.io/Logging_2062/tillsynsmail/A 33185-2019.docx", "A 33185-2019")</f>
        <v/>
      </c>
    </row>
    <row r="246" ht="15" customHeight="1">
      <c r="A246" t="inlineStr">
        <is>
          <t>A 41927-2019</t>
        </is>
      </c>
      <c r="B246" s="1" t="n">
        <v>43700</v>
      </c>
      <c r="C246" s="1" t="n">
        <v>45210</v>
      </c>
      <c r="D246" t="inlineStr">
        <is>
          <t>DALARNAS LÄN</t>
        </is>
      </c>
      <c r="E246" t="inlineStr">
        <is>
          <t>RÄTTVIK</t>
        </is>
      </c>
      <c r="F246" t="inlineStr">
        <is>
          <t>Sveaskog</t>
        </is>
      </c>
      <c r="G246" t="n">
        <v>13.8</v>
      </c>
      <c r="H246" t="n">
        <v>0</v>
      </c>
      <c r="I246" t="n">
        <v>0</v>
      </c>
      <c r="J246" t="n">
        <v>1</v>
      </c>
      <c r="K246" t="n">
        <v>1</v>
      </c>
      <c r="L246" t="n">
        <v>0</v>
      </c>
      <c r="M246" t="n">
        <v>0</v>
      </c>
      <c r="N246" t="n">
        <v>0</v>
      </c>
      <c r="O246" t="n">
        <v>2</v>
      </c>
      <c r="P246" t="n">
        <v>1</v>
      </c>
      <c r="Q246" t="n">
        <v>2</v>
      </c>
      <c r="R246" s="2" t="inlineStr">
        <is>
          <t>Goliatmusseron
Orange taggsvamp</t>
        </is>
      </c>
      <c r="S246">
        <f>HYPERLINK("https://klasma.github.io/Logging_2031/artfynd/A 41927-2019.xlsx", "A 41927-2019")</f>
        <v/>
      </c>
      <c r="T246">
        <f>HYPERLINK("https://klasma.github.io/Logging_2031/kartor/A 41927-2019.png", "A 41927-2019")</f>
        <v/>
      </c>
      <c r="V246">
        <f>HYPERLINK("https://klasma.github.io/Logging_2031/klagomål/A 41927-2019.docx", "A 41927-2019")</f>
        <v/>
      </c>
      <c r="W246">
        <f>HYPERLINK("https://klasma.github.io/Logging_2031/klagomålsmail/A 41927-2019.docx", "A 41927-2019")</f>
        <v/>
      </c>
      <c r="X246">
        <f>HYPERLINK("https://klasma.github.io/Logging_2031/tillsyn/A 41927-2019.docx", "A 41927-2019")</f>
        <v/>
      </c>
      <c r="Y246">
        <f>HYPERLINK("https://klasma.github.io/Logging_2031/tillsynsmail/A 41927-2019.docx", "A 41927-2019")</f>
        <v/>
      </c>
    </row>
    <row r="247" ht="15" customHeight="1">
      <c r="A247" t="inlineStr">
        <is>
          <t>A 45015-2019</t>
        </is>
      </c>
      <c r="B247" s="1" t="n">
        <v>43707</v>
      </c>
      <c r="C247" s="1" t="n">
        <v>45210</v>
      </c>
      <c r="D247" t="inlineStr">
        <is>
          <t>DALARNAS LÄN</t>
        </is>
      </c>
      <c r="E247" t="inlineStr">
        <is>
          <t>ÄLVDALEN</t>
        </is>
      </c>
      <c r="F247" t="inlineStr">
        <is>
          <t>Sveaskog</t>
        </is>
      </c>
      <c r="G247" t="n">
        <v>33.8</v>
      </c>
      <c r="H247" t="n">
        <v>1</v>
      </c>
      <c r="I247" t="n">
        <v>0</v>
      </c>
      <c r="J247" t="n">
        <v>2</v>
      </c>
      <c r="K247" t="n">
        <v>0</v>
      </c>
      <c r="L247" t="n">
        <v>0</v>
      </c>
      <c r="M247" t="n">
        <v>0</v>
      </c>
      <c r="N247" t="n">
        <v>0</v>
      </c>
      <c r="O247" t="n">
        <v>2</v>
      </c>
      <c r="P247" t="n">
        <v>0</v>
      </c>
      <c r="Q247" t="n">
        <v>2</v>
      </c>
      <c r="R247" s="2" t="inlineStr">
        <is>
          <t>Skrovellav
Varglav</t>
        </is>
      </c>
      <c r="S247">
        <f>HYPERLINK("https://klasma.github.io/Logging_2039/artfynd/A 45015-2019.xlsx", "A 45015-2019")</f>
        <v/>
      </c>
      <c r="T247">
        <f>HYPERLINK("https://klasma.github.io/Logging_2039/kartor/A 45015-2019.png", "A 45015-2019")</f>
        <v/>
      </c>
      <c r="V247">
        <f>HYPERLINK("https://klasma.github.io/Logging_2039/klagomål/A 45015-2019.docx", "A 45015-2019")</f>
        <v/>
      </c>
      <c r="W247">
        <f>HYPERLINK("https://klasma.github.io/Logging_2039/klagomålsmail/A 45015-2019.docx", "A 45015-2019")</f>
        <v/>
      </c>
      <c r="X247">
        <f>HYPERLINK("https://klasma.github.io/Logging_2039/tillsyn/A 45015-2019.docx", "A 45015-2019")</f>
        <v/>
      </c>
      <c r="Y247">
        <f>HYPERLINK("https://klasma.github.io/Logging_2039/tillsynsmail/A 45015-2019.docx", "A 45015-2019")</f>
        <v/>
      </c>
    </row>
    <row r="248" ht="15" customHeight="1">
      <c r="A248" t="inlineStr">
        <is>
          <t>A 49294-2019</t>
        </is>
      </c>
      <c r="B248" s="1" t="n">
        <v>43731</v>
      </c>
      <c r="C248" s="1" t="n">
        <v>45210</v>
      </c>
      <c r="D248" t="inlineStr">
        <is>
          <t>DALARNAS LÄN</t>
        </is>
      </c>
      <c r="E248" t="inlineStr">
        <is>
          <t>HEDEMORA</t>
        </is>
      </c>
      <c r="F248" t="inlineStr">
        <is>
          <t>Sveaskog</t>
        </is>
      </c>
      <c r="G248" t="n">
        <v>7.7</v>
      </c>
      <c r="H248" t="n">
        <v>2</v>
      </c>
      <c r="I248" t="n">
        <v>0</v>
      </c>
      <c r="J248" t="n">
        <v>1</v>
      </c>
      <c r="K248" t="n">
        <v>0</v>
      </c>
      <c r="L248" t="n">
        <v>0</v>
      </c>
      <c r="M248" t="n">
        <v>0</v>
      </c>
      <c r="N248" t="n">
        <v>0</v>
      </c>
      <c r="O248" t="n">
        <v>1</v>
      </c>
      <c r="P248" t="n">
        <v>0</v>
      </c>
      <c r="Q248" t="n">
        <v>2</v>
      </c>
      <c r="R248" s="2" t="inlineStr">
        <is>
          <t>Nordfladdermus
Vattenfladdermus</t>
        </is>
      </c>
      <c r="S248">
        <f>HYPERLINK("https://klasma.github.io/Logging_2083/artfynd/A 49294-2019.xlsx", "A 49294-2019")</f>
        <v/>
      </c>
      <c r="T248">
        <f>HYPERLINK("https://klasma.github.io/Logging_2083/kartor/A 49294-2019.png", "A 49294-2019")</f>
        <v/>
      </c>
      <c r="V248">
        <f>HYPERLINK("https://klasma.github.io/Logging_2083/klagomål/A 49294-2019.docx", "A 49294-2019")</f>
        <v/>
      </c>
      <c r="W248">
        <f>HYPERLINK("https://klasma.github.io/Logging_2083/klagomålsmail/A 49294-2019.docx", "A 49294-2019")</f>
        <v/>
      </c>
      <c r="X248">
        <f>HYPERLINK("https://klasma.github.io/Logging_2083/tillsyn/A 49294-2019.docx", "A 49294-2019")</f>
        <v/>
      </c>
      <c r="Y248">
        <f>HYPERLINK("https://klasma.github.io/Logging_2083/tillsynsmail/A 49294-2019.docx", "A 49294-2019")</f>
        <v/>
      </c>
    </row>
    <row r="249" ht="15" customHeight="1">
      <c r="A249" t="inlineStr">
        <is>
          <t>A 60948-2019</t>
        </is>
      </c>
      <c r="B249" s="1" t="n">
        <v>43780</v>
      </c>
      <c r="C249" s="1" t="n">
        <v>45210</v>
      </c>
      <c r="D249" t="inlineStr">
        <is>
          <t>DALARNAS LÄN</t>
        </is>
      </c>
      <c r="E249" t="inlineStr">
        <is>
          <t>LEKSAND</t>
        </is>
      </c>
      <c r="G249" t="n">
        <v>3.1</v>
      </c>
      <c r="H249" t="n">
        <v>2</v>
      </c>
      <c r="I249" t="n">
        <v>0</v>
      </c>
      <c r="J249" t="n">
        <v>0</v>
      </c>
      <c r="K249" t="n">
        <v>0</v>
      </c>
      <c r="L249" t="n">
        <v>0</v>
      </c>
      <c r="M249" t="n">
        <v>0</v>
      </c>
      <c r="N249" t="n">
        <v>0</v>
      </c>
      <c r="O249" t="n">
        <v>0</v>
      </c>
      <c r="P249" t="n">
        <v>0</v>
      </c>
      <c r="Q249" t="n">
        <v>2</v>
      </c>
      <c r="R249" s="2" t="inlineStr">
        <is>
          <t>Blåsippa
Revlummer</t>
        </is>
      </c>
      <c r="S249">
        <f>HYPERLINK("https://klasma.github.io/Logging_2029/artfynd/A 60948-2019.xlsx", "A 60948-2019")</f>
        <v/>
      </c>
      <c r="T249">
        <f>HYPERLINK("https://klasma.github.io/Logging_2029/kartor/A 60948-2019.png", "A 60948-2019")</f>
        <v/>
      </c>
      <c r="V249">
        <f>HYPERLINK("https://klasma.github.io/Logging_2029/klagomål/A 60948-2019.docx", "A 60948-2019")</f>
        <v/>
      </c>
      <c r="W249">
        <f>HYPERLINK("https://klasma.github.io/Logging_2029/klagomålsmail/A 60948-2019.docx", "A 60948-2019")</f>
        <v/>
      </c>
      <c r="X249">
        <f>HYPERLINK("https://klasma.github.io/Logging_2029/tillsyn/A 60948-2019.docx", "A 60948-2019")</f>
        <v/>
      </c>
      <c r="Y249">
        <f>HYPERLINK("https://klasma.github.io/Logging_2029/tillsynsmail/A 60948-2019.docx", "A 60948-2019")</f>
        <v/>
      </c>
    </row>
    <row r="250" ht="15" customHeight="1">
      <c r="A250" t="inlineStr">
        <is>
          <t>A 64812-2019</t>
        </is>
      </c>
      <c r="B250" s="1" t="n">
        <v>43801</v>
      </c>
      <c r="C250" s="1" t="n">
        <v>45210</v>
      </c>
      <c r="D250" t="inlineStr">
        <is>
          <t>DALARNAS LÄN</t>
        </is>
      </c>
      <c r="E250" t="inlineStr">
        <is>
          <t>MORA</t>
        </is>
      </c>
      <c r="G250" t="n">
        <v>5.6</v>
      </c>
      <c r="H250" t="n">
        <v>0</v>
      </c>
      <c r="I250" t="n">
        <v>0</v>
      </c>
      <c r="J250" t="n">
        <v>2</v>
      </c>
      <c r="K250" t="n">
        <v>0</v>
      </c>
      <c r="L250" t="n">
        <v>0</v>
      </c>
      <c r="M250" t="n">
        <v>0</v>
      </c>
      <c r="N250" t="n">
        <v>0</v>
      </c>
      <c r="O250" t="n">
        <v>2</v>
      </c>
      <c r="P250" t="n">
        <v>0</v>
      </c>
      <c r="Q250" t="n">
        <v>2</v>
      </c>
      <c r="R250" s="2" t="inlineStr">
        <is>
          <t>Rosenticka
Ullticka</t>
        </is>
      </c>
      <c r="S250">
        <f>HYPERLINK("https://klasma.github.io/Logging_2062/artfynd/A 64812-2019.xlsx", "A 64812-2019")</f>
        <v/>
      </c>
      <c r="T250">
        <f>HYPERLINK("https://klasma.github.io/Logging_2062/kartor/A 64812-2019.png", "A 64812-2019")</f>
        <v/>
      </c>
      <c r="V250">
        <f>HYPERLINK("https://klasma.github.io/Logging_2062/klagomål/A 64812-2019.docx", "A 64812-2019")</f>
        <v/>
      </c>
      <c r="W250">
        <f>HYPERLINK("https://klasma.github.io/Logging_2062/klagomålsmail/A 64812-2019.docx", "A 64812-2019")</f>
        <v/>
      </c>
      <c r="X250">
        <f>HYPERLINK("https://klasma.github.io/Logging_2062/tillsyn/A 64812-2019.docx", "A 64812-2019")</f>
        <v/>
      </c>
      <c r="Y250">
        <f>HYPERLINK("https://klasma.github.io/Logging_2062/tillsynsmail/A 64812-2019.docx", "A 64812-2019")</f>
        <v/>
      </c>
    </row>
    <row r="251" ht="15" customHeight="1">
      <c r="A251" t="inlineStr">
        <is>
          <t>A 67989-2019</t>
        </is>
      </c>
      <c r="B251" s="1" t="n">
        <v>43811</v>
      </c>
      <c r="C251" s="1" t="n">
        <v>45210</v>
      </c>
      <c r="D251" t="inlineStr">
        <is>
          <t>DALARNAS LÄN</t>
        </is>
      </c>
      <c r="E251" t="inlineStr">
        <is>
          <t>BORLÄNGE</t>
        </is>
      </c>
      <c r="G251" t="n">
        <v>2.8</v>
      </c>
      <c r="H251" t="n">
        <v>1</v>
      </c>
      <c r="I251" t="n">
        <v>0</v>
      </c>
      <c r="J251" t="n">
        <v>1</v>
      </c>
      <c r="K251" t="n">
        <v>0</v>
      </c>
      <c r="L251" t="n">
        <v>0</v>
      </c>
      <c r="M251" t="n">
        <v>0</v>
      </c>
      <c r="N251" t="n">
        <v>0</v>
      </c>
      <c r="O251" t="n">
        <v>1</v>
      </c>
      <c r="P251" t="n">
        <v>0</v>
      </c>
      <c r="Q251" t="n">
        <v>2</v>
      </c>
      <c r="R251" s="2" t="inlineStr">
        <is>
          <t>Gul taggsvamp
Blåsippa</t>
        </is>
      </c>
      <c r="S251">
        <f>HYPERLINK("https://klasma.github.io/Logging_2081/artfynd/A 67989-2019.xlsx", "A 67989-2019")</f>
        <v/>
      </c>
      <c r="T251">
        <f>HYPERLINK("https://klasma.github.io/Logging_2081/kartor/A 67989-2019.png", "A 67989-2019")</f>
        <v/>
      </c>
      <c r="V251">
        <f>HYPERLINK("https://klasma.github.io/Logging_2081/klagomål/A 67989-2019.docx", "A 67989-2019")</f>
        <v/>
      </c>
      <c r="W251">
        <f>HYPERLINK("https://klasma.github.io/Logging_2081/klagomålsmail/A 67989-2019.docx", "A 67989-2019")</f>
        <v/>
      </c>
      <c r="X251">
        <f>HYPERLINK("https://klasma.github.io/Logging_2081/tillsyn/A 67989-2019.docx", "A 67989-2019")</f>
        <v/>
      </c>
      <c r="Y251">
        <f>HYPERLINK("https://klasma.github.io/Logging_2081/tillsynsmail/A 67989-2019.docx", "A 67989-2019")</f>
        <v/>
      </c>
    </row>
    <row r="252" ht="15" customHeight="1">
      <c r="A252" t="inlineStr">
        <is>
          <t>A 7704-2020</t>
        </is>
      </c>
      <c r="B252" s="1" t="n">
        <v>43872</v>
      </c>
      <c r="C252" s="1" t="n">
        <v>45210</v>
      </c>
      <c r="D252" t="inlineStr">
        <is>
          <t>DALARNAS LÄN</t>
        </is>
      </c>
      <c r="E252" t="inlineStr">
        <is>
          <t>LUDVIKA</t>
        </is>
      </c>
      <c r="G252" t="n">
        <v>3.4</v>
      </c>
      <c r="H252" t="n">
        <v>1</v>
      </c>
      <c r="I252" t="n">
        <v>1</v>
      </c>
      <c r="J252" t="n">
        <v>0</v>
      </c>
      <c r="K252" t="n">
        <v>0</v>
      </c>
      <c r="L252" t="n">
        <v>0</v>
      </c>
      <c r="M252" t="n">
        <v>0</v>
      </c>
      <c r="N252" t="n">
        <v>0</v>
      </c>
      <c r="O252" t="n">
        <v>0</v>
      </c>
      <c r="P252" t="n">
        <v>0</v>
      </c>
      <c r="Q252" t="n">
        <v>2</v>
      </c>
      <c r="R252" s="2" t="inlineStr">
        <is>
          <t>Svavelriska
Blåsippa</t>
        </is>
      </c>
      <c r="S252">
        <f>HYPERLINK("https://klasma.github.io/Logging_2085/artfynd/A 7704-2020.xlsx", "A 7704-2020")</f>
        <v/>
      </c>
      <c r="T252">
        <f>HYPERLINK("https://klasma.github.io/Logging_2085/kartor/A 7704-2020.png", "A 7704-2020")</f>
        <v/>
      </c>
      <c r="V252">
        <f>HYPERLINK("https://klasma.github.io/Logging_2085/klagomål/A 7704-2020.docx", "A 7704-2020")</f>
        <v/>
      </c>
      <c r="W252">
        <f>HYPERLINK("https://klasma.github.io/Logging_2085/klagomålsmail/A 7704-2020.docx", "A 7704-2020")</f>
        <v/>
      </c>
      <c r="X252">
        <f>HYPERLINK("https://klasma.github.io/Logging_2085/tillsyn/A 7704-2020.docx", "A 7704-2020")</f>
        <v/>
      </c>
      <c r="Y252">
        <f>HYPERLINK("https://klasma.github.io/Logging_2085/tillsynsmail/A 7704-2020.docx", "A 7704-2020")</f>
        <v/>
      </c>
    </row>
    <row r="253" ht="15" customHeight="1">
      <c r="A253" t="inlineStr">
        <is>
          <t>A 7808-2020</t>
        </is>
      </c>
      <c r="B253" s="1" t="n">
        <v>43873</v>
      </c>
      <c r="C253" s="1" t="n">
        <v>45210</v>
      </c>
      <c r="D253" t="inlineStr">
        <is>
          <t>DALARNAS LÄN</t>
        </is>
      </c>
      <c r="E253" t="inlineStr">
        <is>
          <t>HEDEMORA</t>
        </is>
      </c>
      <c r="G253" t="n">
        <v>9.1</v>
      </c>
      <c r="H253" t="n">
        <v>1</v>
      </c>
      <c r="I253" t="n">
        <v>0</v>
      </c>
      <c r="J253" t="n">
        <v>1</v>
      </c>
      <c r="K253" t="n">
        <v>1</v>
      </c>
      <c r="L253" t="n">
        <v>0</v>
      </c>
      <c r="M253" t="n">
        <v>0</v>
      </c>
      <c r="N253" t="n">
        <v>0</v>
      </c>
      <c r="O253" t="n">
        <v>2</v>
      </c>
      <c r="P253" t="n">
        <v>1</v>
      </c>
      <c r="Q253" t="n">
        <v>2</v>
      </c>
      <c r="R253" s="2" t="inlineStr">
        <is>
          <t>Knärot
Ullticka</t>
        </is>
      </c>
      <c r="S253">
        <f>HYPERLINK("https://klasma.github.io/Logging_2083/artfynd/A 7808-2020.xlsx", "A 7808-2020")</f>
        <v/>
      </c>
      <c r="T253">
        <f>HYPERLINK("https://klasma.github.io/Logging_2083/kartor/A 7808-2020.png", "A 7808-2020")</f>
        <v/>
      </c>
      <c r="U253">
        <f>HYPERLINK("https://klasma.github.io/Logging_2083/knärot/A 7808-2020.png", "A 7808-2020")</f>
        <v/>
      </c>
      <c r="V253">
        <f>HYPERLINK("https://klasma.github.io/Logging_2083/klagomål/A 7808-2020.docx", "A 7808-2020")</f>
        <v/>
      </c>
      <c r="W253">
        <f>HYPERLINK("https://klasma.github.io/Logging_2083/klagomålsmail/A 7808-2020.docx", "A 7808-2020")</f>
        <v/>
      </c>
      <c r="X253">
        <f>HYPERLINK("https://klasma.github.io/Logging_2083/tillsyn/A 7808-2020.docx", "A 7808-2020")</f>
        <v/>
      </c>
      <c r="Y253">
        <f>HYPERLINK("https://klasma.github.io/Logging_2083/tillsynsmail/A 7808-2020.docx", "A 7808-2020")</f>
        <v/>
      </c>
    </row>
    <row r="254" ht="15" customHeight="1">
      <c r="A254" t="inlineStr">
        <is>
          <t>A 23406-2020</t>
        </is>
      </c>
      <c r="B254" s="1" t="n">
        <v>43969</v>
      </c>
      <c r="C254" s="1" t="n">
        <v>45210</v>
      </c>
      <c r="D254" t="inlineStr">
        <is>
          <t>DALARNAS LÄN</t>
        </is>
      </c>
      <c r="E254" t="inlineStr">
        <is>
          <t>VANSBRO</t>
        </is>
      </c>
      <c r="G254" t="n">
        <v>1</v>
      </c>
      <c r="H254" t="n">
        <v>1</v>
      </c>
      <c r="I254" t="n">
        <v>1</v>
      </c>
      <c r="J254" t="n">
        <v>0</v>
      </c>
      <c r="K254" t="n">
        <v>1</v>
      </c>
      <c r="L254" t="n">
        <v>0</v>
      </c>
      <c r="M254" t="n">
        <v>0</v>
      </c>
      <c r="N254" t="n">
        <v>0</v>
      </c>
      <c r="O254" t="n">
        <v>1</v>
      </c>
      <c r="P254" t="n">
        <v>1</v>
      </c>
      <c r="Q254" t="n">
        <v>2</v>
      </c>
      <c r="R254" s="2" t="inlineStr">
        <is>
          <t>Knärot
Dropptaggsvamp</t>
        </is>
      </c>
      <c r="S254">
        <f>HYPERLINK("https://klasma.github.io/Logging_2021/artfynd/A 23406-2020.xlsx", "A 23406-2020")</f>
        <v/>
      </c>
      <c r="T254">
        <f>HYPERLINK("https://klasma.github.io/Logging_2021/kartor/A 23406-2020.png", "A 23406-2020")</f>
        <v/>
      </c>
      <c r="U254">
        <f>HYPERLINK("https://klasma.github.io/Logging_2021/knärot/A 23406-2020.png", "A 23406-2020")</f>
        <v/>
      </c>
      <c r="V254">
        <f>HYPERLINK("https://klasma.github.io/Logging_2021/klagomål/A 23406-2020.docx", "A 23406-2020")</f>
        <v/>
      </c>
      <c r="W254">
        <f>HYPERLINK("https://klasma.github.io/Logging_2021/klagomålsmail/A 23406-2020.docx", "A 23406-2020")</f>
        <v/>
      </c>
      <c r="X254">
        <f>HYPERLINK("https://klasma.github.io/Logging_2021/tillsyn/A 23406-2020.docx", "A 23406-2020")</f>
        <v/>
      </c>
      <c r="Y254">
        <f>HYPERLINK("https://klasma.github.io/Logging_2021/tillsynsmail/A 23406-2020.docx", "A 23406-2020")</f>
        <v/>
      </c>
    </row>
    <row r="255" ht="15" customHeight="1">
      <c r="A255" t="inlineStr">
        <is>
          <t>A 36900-2020</t>
        </is>
      </c>
      <c r="B255" s="1" t="n">
        <v>44053</v>
      </c>
      <c r="C255" s="1" t="n">
        <v>45210</v>
      </c>
      <c r="D255" t="inlineStr">
        <is>
          <t>DALARNAS LÄN</t>
        </is>
      </c>
      <c r="E255" t="inlineStr">
        <is>
          <t>LEKSAND</t>
        </is>
      </c>
      <c r="F255" t="inlineStr">
        <is>
          <t>Bergvik skog väst AB</t>
        </is>
      </c>
      <c r="G255" t="n">
        <v>2.9</v>
      </c>
      <c r="H255" t="n">
        <v>0</v>
      </c>
      <c r="I255" t="n">
        <v>1</v>
      </c>
      <c r="J255" t="n">
        <v>1</v>
      </c>
      <c r="K255" t="n">
        <v>0</v>
      </c>
      <c r="L255" t="n">
        <v>0</v>
      </c>
      <c r="M255" t="n">
        <v>0</v>
      </c>
      <c r="N255" t="n">
        <v>0</v>
      </c>
      <c r="O255" t="n">
        <v>1</v>
      </c>
      <c r="P255" t="n">
        <v>0</v>
      </c>
      <c r="Q255" t="n">
        <v>2</v>
      </c>
      <c r="R255" s="2" t="inlineStr">
        <is>
          <t>Vedskivlav
Mindre märgborre</t>
        </is>
      </c>
      <c r="S255">
        <f>HYPERLINK("https://klasma.github.io/Logging_2029/artfynd/A 36900-2020.xlsx", "A 36900-2020")</f>
        <v/>
      </c>
      <c r="T255">
        <f>HYPERLINK("https://klasma.github.io/Logging_2029/kartor/A 36900-2020.png", "A 36900-2020")</f>
        <v/>
      </c>
      <c r="V255">
        <f>HYPERLINK("https://klasma.github.io/Logging_2029/klagomål/A 36900-2020.docx", "A 36900-2020")</f>
        <v/>
      </c>
      <c r="W255">
        <f>HYPERLINK("https://klasma.github.io/Logging_2029/klagomålsmail/A 36900-2020.docx", "A 36900-2020")</f>
        <v/>
      </c>
      <c r="X255">
        <f>HYPERLINK("https://klasma.github.io/Logging_2029/tillsyn/A 36900-2020.docx", "A 36900-2020")</f>
        <v/>
      </c>
      <c r="Y255">
        <f>HYPERLINK("https://klasma.github.io/Logging_2029/tillsynsmail/A 36900-2020.docx", "A 36900-2020")</f>
        <v/>
      </c>
    </row>
    <row r="256" ht="15" customHeight="1">
      <c r="A256" t="inlineStr">
        <is>
          <t>A 40160-2020</t>
        </is>
      </c>
      <c r="B256" s="1" t="n">
        <v>44068</v>
      </c>
      <c r="C256" s="1" t="n">
        <v>45210</v>
      </c>
      <c r="D256" t="inlineStr">
        <is>
          <t>DALARNAS LÄN</t>
        </is>
      </c>
      <c r="E256" t="inlineStr">
        <is>
          <t>FALUN</t>
        </is>
      </c>
      <c r="F256" t="inlineStr">
        <is>
          <t>Bergvik skog väst AB</t>
        </is>
      </c>
      <c r="G256" t="n">
        <v>2.5</v>
      </c>
      <c r="H256" t="n">
        <v>1</v>
      </c>
      <c r="I256" t="n">
        <v>1</v>
      </c>
      <c r="J256" t="n">
        <v>1</v>
      </c>
      <c r="K256" t="n">
        <v>0</v>
      </c>
      <c r="L256" t="n">
        <v>0</v>
      </c>
      <c r="M256" t="n">
        <v>0</v>
      </c>
      <c r="N256" t="n">
        <v>0</v>
      </c>
      <c r="O256" t="n">
        <v>1</v>
      </c>
      <c r="P256" t="n">
        <v>0</v>
      </c>
      <c r="Q256" t="n">
        <v>2</v>
      </c>
      <c r="R256" s="2" t="inlineStr">
        <is>
          <t>Garnlav
Plattlummer</t>
        </is>
      </c>
      <c r="S256">
        <f>HYPERLINK("https://klasma.github.io/Logging_2080/artfynd/A 40160-2020.xlsx", "A 40160-2020")</f>
        <v/>
      </c>
      <c r="T256">
        <f>HYPERLINK("https://klasma.github.io/Logging_2080/kartor/A 40160-2020.png", "A 40160-2020")</f>
        <v/>
      </c>
      <c r="V256">
        <f>HYPERLINK("https://klasma.github.io/Logging_2080/klagomål/A 40160-2020.docx", "A 40160-2020")</f>
        <v/>
      </c>
      <c r="W256">
        <f>HYPERLINK("https://klasma.github.io/Logging_2080/klagomålsmail/A 40160-2020.docx", "A 40160-2020")</f>
        <v/>
      </c>
      <c r="X256">
        <f>HYPERLINK("https://klasma.github.io/Logging_2080/tillsyn/A 40160-2020.docx", "A 40160-2020")</f>
        <v/>
      </c>
      <c r="Y256">
        <f>HYPERLINK("https://klasma.github.io/Logging_2080/tillsynsmail/A 40160-2020.docx", "A 40160-2020")</f>
        <v/>
      </c>
    </row>
    <row r="257" ht="15" customHeight="1">
      <c r="A257" t="inlineStr">
        <is>
          <t>A 47051-2020</t>
        </is>
      </c>
      <c r="B257" s="1" t="n">
        <v>44091</v>
      </c>
      <c r="C257" s="1" t="n">
        <v>45210</v>
      </c>
      <c r="D257" t="inlineStr">
        <is>
          <t>DALARNAS LÄN</t>
        </is>
      </c>
      <c r="E257" t="inlineStr">
        <is>
          <t>SMEDJEBACKEN</t>
        </is>
      </c>
      <c r="F257" t="inlineStr">
        <is>
          <t>Bergvik skog väst AB</t>
        </is>
      </c>
      <c r="G257" t="n">
        <v>2.5</v>
      </c>
      <c r="H257" t="n">
        <v>1</v>
      </c>
      <c r="I257" t="n">
        <v>0</v>
      </c>
      <c r="J257" t="n">
        <v>1</v>
      </c>
      <c r="K257" t="n">
        <v>0</v>
      </c>
      <c r="L257" t="n">
        <v>0</v>
      </c>
      <c r="M257" t="n">
        <v>0</v>
      </c>
      <c r="N257" t="n">
        <v>0</v>
      </c>
      <c r="O257" t="n">
        <v>1</v>
      </c>
      <c r="P257" t="n">
        <v>0</v>
      </c>
      <c r="Q257" t="n">
        <v>2</v>
      </c>
      <c r="R257" s="2" t="inlineStr">
        <is>
          <t>Grantaggsvamp
Fläcknycklar</t>
        </is>
      </c>
      <c r="S257">
        <f>HYPERLINK("https://klasma.github.io/Logging_2061/artfynd/A 47051-2020.xlsx", "A 47051-2020")</f>
        <v/>
      </c>
      <c r="T257">
        <f>HYPERLINK("https://klasma.github.io/Logging_2061/kartor/A 47051-2020.png", "A 47051-2020")</f>
        <v/>
      </c>
      <c r="V257">
        <f>HYPERLINK("https://klasma.github.io/Logging_2061/klagomål/A 47051-2020.docx", "A 47051-2020")</f>
        <v/>
      </c>
      <c r="W257">
        <f>HYPERLINK("https://klasma.github.io/Logging_2061/klagomålsmail/A 47051-2020.docx", "A 47051-2020")</f>
        <v/>
      </c>
      <c r="X257">
        <f>HYPERLINK("https://klasma.github.io/Logging_2061/tillsyn/A 47051-2020.docx", "A 47051-2020")</f>
        <v/>
      </c>
      <c r="Y257">
        <f>HYPERLINK("https://klasma.github.io/Logging_2061/tillsynsmail/A 47051-2020.docx", "A 47051-2020")</f>
        <v/>
      </c>
    </row>
    <row r="258" ht="15" customHeight="1">
      <c r="A258" t="inlineStr">
        <is>
          <t>A 45940-2020</t>
        </is>
      </c>
      <c r="B258" s="1" t="n">
        <v>44091</v>
      </c>
      <c r="C258" s="1" t="n">
        <v>45210</v>
      </c>
      <c r="D258" t="inlineStr">
        <is>
          <t>DALARNAS LÄN</t>
        </is>
      </c>
      <c r="E258" t="inlineStr">
        <is>
          <t>FALUN</t>
        </is>
      </c>
      <c r="F258" t="inlineStr">
        <is>
          <t>Bergvik skog väst AB</t>
        </is>
      </c>
      <c r="G258" t="n">
        <v>3.7</v>
      </c>
      <c r="H258" t="n">
        <v>1</v>
      </c>
      <c r="I258" t="n">
        <v>0</v>
      </c>
      <c r="J258" t="n">
        <v>2</v>
      </c>
      <c r="K258" t="n">
        <v>0</v>
      </c>
      <c r="L258" t="n">
        <v>0</v>
      </c>
      <c r="M258" t="n">
        <v>0</v>
      </c>
      <c r="N258" t="n">
        <v>0</v>
      </c>
      <c r="O258" t="n">
        <v>2</v>
      </c>
      <c r="P258" t="n">
        <v>0</v>
      </c>
      <c r="Q258" t="n">
        <v>2</v>
      </c>
      <c r="R258" s="2" t="inlineStr">
        <is>
          <t>Garnlav
Järpe</t>
        </is>
      </c>
      <c r="S258">
        <f>HYPERLINK("https://klasma.github.io/Logging_2080/artfynd/A 45940-2020.xlsx", "A 45940-2020")</f>
        <v/>
      </c>
      <c r="T258">
        <f>HYPERLINK("https://klasma.github.io/Logging_2080/kartor/A 45940-2020.png", "A 45940-2020")</f>
        <v/>
      </c>
      <c r="V258">
        <f>HYPERLINK("https://klasma.github.io/Logging_2080/klagomål/A 45940-2020.docx", "A 45940-2020")</f>
        <v/>
      </c>
      <c r="W258">
        <f>HYPERLINK("https://klasma.github.io/Logging_2080/klagomålsmail/A 45940-2020.docx", "A 45940-2020")</f>
        <v/>
      </c>
      <c r="X258">
        <f>HYPERLINK("https://klasma.github.io/Logging_2080/tillsyn/A 45940-2020.docx", "A 45940-2020")</f>
        <v/>
      </c>
      <c r="Y258">
        <f>HYPERLINK("https://klasma.github.io/Logging_2080/tillsynsmail/A 45940-2020.docx", "A 45940-2020")</f>
        <v/>
      </c>
    </row>
    <row r="259" ht="15" customHeight="1">
      <c r="A259" t="inlineStr">
        <is>
          <t>A 56050-2020</t>
        </is>
      </c>
      <c r="B259" s="1" t="n">
        <v>44133</v>
      </c>
      <c r="C259" s="1" t="n">
        <v>45210</v>
      </c>
      <c r="D259" t="inlineStr">
        <is>
          <t>DALARNAS LÄN</t>
        </is>
      </c>
      <c r="E259" t="inlineStr">
        <is>
          <t>FALUN</t>
        </is>
      </c>
      <c r="F259" t="inlineStr">
        <is>
          <t>Bergvik skog väst AB</t>
        </is>
      </c>
      <c r="G259" t="n">
        <v>19</v>
      </c>
      <c r="H259" t="n">
        <v>0</v>
      </c>
      <c r="I259" t="n">
        <v>1</v>
      </c>
      <c r="J259" t="n">
        <v>1</v>
      </c>
      <c r="K259" t="n">
        <v>0</v>
      </c>
      <c r="L259" t="n">
        <v>0</v>
      </c>
      <c r="M259" t="n">
        <v>0</v>
      </c>
      <c r="N259" t="n">
        <v>0</v>
      </c>
      <c r="O259" t="n">
        <v>1</v>
      </c>
      <c r="P259" t="n">
        <v>0</v>
      </c>
      <c r="Q259" t="n">
        <v>2</v>
      </c>
      <c r="R259" s="2" t="inlineStr">
        <is>
          <t>Lunglav
Korallblylav</t>
        </is>
      </c>
      <c r="S259">
        <f>HYPERLINK("https://klasma.github.io/Logging_2080/artfynd/A 56050-2020.xlsx", "A 56050-2020")</f>
        <v/>
      </c>
      <c r="T259">
        <f>HYPERLINK("https://klasma.github.io/Logging_2080/kartor/A 56050-2020.png", "A 56050-2020")</f>
        <v/>
      </c>
      <c r="V259">
        <f>HYPERLINK("https://klasma.github.io/Logging_2080/klagomål/A 56050-2020.docx", "A 56050-2020")</f>
        <v/>
      </c>
      <c r="W259">
        <f>HYPERLINK("https://klasma.github.io/Logging_2080/klagomålsmail/A 56050-2020.docx", "A 56050-2020")</f>
        <v/>
      </c>
      <c r="X259">
        <f>HYPERLINK("https://klasma.github.io/Logging_2080/tillsyn/A 56050-2020.docx", "A 56050-2020")</f>
        <v/>
      </c>
      <c r="Y259">
        <f>HYPERLINK("https://klasma.github.io/Logging_2080/tillsynsmail/A 56050-2020.docx", "A 56050-2020")</f>
        <v/>
      </c>
    </row>
    <row r="260" ht="15" customHeight="1">
      <c r="A260" t="inlineStr">
        <is>
          <t>A 59626-2020</t>
        </is>
      </c>
      <c r="B260" s="1" t="n">
        <v>44150</v>
      </c>
      <c r="C260" s="1" t="n">
        <v>45210</v>
      </c>
      <c r="D260" t="inlineStr">
        <is>
          <t>DALARNAS LÄN</t>
        </is>
      </c>
      <c r="E260" t="inlineStr">
        <is>
          <t>MORA</t>
        </is>
      </c>
      <c r="F260" t="inlineStr">
        <is>
          <t>Bergvik skog öst AB</t>
        </is>
      </c>
      <c r="G260" t="n">
        <v>3.8</v>
      </c>
      <c r="H260" t="n">
        <v>0</v>
      </c>
      <c r="I260" t="n">
        <v>1</v>
      </c>
      <c r="J260" t="n">
        <v>1</v>
      </c>
      <c r="K260" t="n">
        <v>0</v>
      </c>
      <c r="L260" t="n">
        <v>0</v>
      </c>
      <c r="M260" t="n">
        <v>0</v>
      </c>
      <c r="N260" t="n">
        <v>0</v>
      </c>
      <c r="O260" t="n">
        <v>1</v>
      </c>
      <c r="P260" t="n">
        <v>0</v>
      </c>
      <c r="Q260" t="n">
        <v>2</v>
      </c>
      <c r="R260" s="2" t="inlineStr">
        <is>
          <t>Motaggsvamp
Dropptaggsvamp</t>
        </is>
      </c>
      <c r="S260">
        <f>HYPERLINK("https://klasma.github.io/Logging_2062/artfynd/A 59626-2020.xlsx", "A 59626-2020")</f>
        <v/>
      </c>
      <c r="T260">
        <f>HYPERLINK("https://klasma.github.io/Logging_2062/kartor/A 59626-2020.png", "A 59626-2020")</f>
        <v/>
      </c>
      <c r="V260">
        <f>HYPERLINK("https://klasma.github.io/Logging_2062/klagomål/A 59626-2020.docx", "A 59626-2020")</f>
        <v/>
      </c>
      <c r="W260">
        <f>HYPERLINK("https://klasma.github.io/Logging_2062/klagomålsmail/A 59626-2020.docx", "A 59626-2020")</f>
        <v/>
      </c>
      <c r="X260">
        <f>HYPERLINK("https://klasma.github.io/Logging_2062/tillsyn/A 59626-2020.docx", "A 59626-2020")</f>
        <v/>
      </c>
      <c r="Y260">
        <f>HYPERLINK("https://klasma.github.io/Logging_2062/tillsynsmail/A 59626-2020.docx", "A 59626-2020")</f>
        <v/>
      </c>
    </row>
    <row r="261" ht="15" customHeight="1">
      <c r="A261" t="inlineStr">
        <is>
          <t>A 62286-2020</t>
        </is>
      </c>
      <c r="B261" s="1" t="n">
        <v>44160</v>
      </c>
      <c r="C261" s="1" t="n">
        <v>45210</v>
      </c>
      <c r="D261" t="inlineStr">
        <is>
          <t>DALARNAS LÄN</t>
        </is>
      </c>
      <c r="E261" t="inlineStr">
        <is>
          <t>MORA</t>
        </is>
      </c>
      <c r="G261" t="n">
        <v>0.6</v>
      </c>
      <c r="H261" t="n">
        <v>1</v>
      </c>
      <c r="I261" t="n">
        <v>1</v>
      </c>
      <c r="J261" t="n">
        <v>1</v>
      </c>
      <c r="K261" t="n">
        <v>0</v>
      </c>
      <c r="L261" t="n">
        <v>0</v>
      </c>
      <c r="M261" t="n">
        <v>0</v>
      </c>
      <c r="N261" t="n">
        <v>0</v>
      </c>
      <c r="O261" t="n">
        <v>1</v>
      </c>
      <c r="P261" t="n">
        <v>0</v>
      </c>
      <c r="Q261" t="n">
        <v>2</v>
      </c>
      <c r="R261" s="2" t="inlineStr">
        <is>
          <t>Brun gräsfjäril
Traslav</t>
        </is>
      </c>
      <c r="S261">
        <f>HYPERLINK("https://klasma.github.io/Logging_2062/artfynd/A 62286-2020.xlsx", "A 62286-2020")</f>
        <v/>
      </c>
      <c r="T261">
        <f>HYPERLINK("https://klasma.github.io/Logging_2062/kartor/A 62286-2020.png", "A 62286-2020")</f>
        <v/>
      </c>
      <c r="V261">
        <f>HYPERLINK("https://klasma.github.io/Logging_2062/klagomål/A 62286-2020.docx", "A 62286-2020")</f>
        <v/>
      </c>
      <c r="W261">
        <f>HYPERLINK("https://klasma.github.io/Logging_2062/klagomålsmail/A 62286-2020.docx", "A 62286-2020")</f>
        <v/>
      </c>
      <c r="X261">
        <f>HYPERLINK("https://klasma.github.io/Logging_2062/tillsyn/A 62286-2020.docx", "A 62286-2020")</f>
        <v/>
      </c>
      <c r="Y261">
        <f>HYPERLINK("https://klasma.github.io/Logging_2062/tillsynsmail/A 62286-2020.docx", "A 62286-2020")</f>
        <v/>
      </c>
    </row>
    <row r="262" ht="15" customHeight="1">
      <c r="A262" t="inlineStr">
        <is>
          <t>A 1389-2021</t>
        </is>
      </c>
      <c r="B262" s="1" t="n">
        <v>44208</v>
      </c>
      <c r="C262" s="1" t="n">
        <v>45210</v>
      </c>
      <c r="D262" t="inlineStr">
        <is>
          <t>DALARNAS LÄN</t>
        </is>
      </c>
      <c r="E262" t="inlineStr">
        <is>
          <t>VANSBRO</t>
        </is>
      </c>
      <c r="G262" t="n">
        <v>3</v>
      </c>
      <c r="H262" t="n">
        <v>1</v>
      </c>
      <c r="I262" t="n">
        <v>0</v>
      </c>
      <c r="J262" t="n">
        <v>1</v>
      </c>
      <c r="K262" t="n">
        <v>1</v>
      </c>
      <c r="L262" t="n">
        <v>0</v>
      </c>
      <c r="M262" t="n">
        <v>0</v>
      </c>
      <c r="N262" t="n">
        <v>0</v>
      </c>
      <c r="O262" t="n">
        <v>2</v>
      </c>
      <c r="P262" t="n">
        <v>1</v>
      </c>
      <c r="Q262" t="n">
        <v>2</v>
      </c>
      <c r="R262" s="2" t="inlineStr">
        <is>
          <t>Knärot
Ullticka</t>
        </is>
      </c>
      <c r="S262">
        <f>HYPERLINK("https://klasma.github.io/Logging_2021/artfynd/A 1389-2021.xlsx", "A 1389-2021")</f>
        <v/>
      </c>
      <c r="T262">
        <f>HYPERLINK("https://klasma.github.io/Logging_2021/kartor/A 1389-2021.png", "A 1389-2021")</f>
        <v/>
      </c>
      <c r="U262">
        <f>HYPERLINK("https://klasma.github.io/Logging_2021/knärot/A 1389-2021.png", "A 1389-2021")</f>
        <v/>
      </c>
      <c r="V262">
        <f>HYPERLINK("https://klasma.github.io/Logging_2021/klagomål/A 1389-2021.docx", "A 1389-2021")</f>
        <v/>
      </c>
      <c r="W262">
        <f>HYPERLINK("https://klasma.github.io/Logging_2021/klagomålsmail/A 1389-2021.docx", "A 1389-2021")</f>
        <v/>
      </c>
      <c r="X262">
        <f>HYPERLINK("https://klasma.github.io/Logging_2021/tillsyn/A 1389-2021.docx", "A 1389-2021")</f>
        <v/>
      </c>
      <c r="Y262">
        <f>HYPERLINK("https://klasma.github.io/Logging_2021/tillsynsmail/A 1389-2021.docx", "A 1389-2021")</f>
        <v/>
      </c>
    </row>
    <row r="263" ht="15" customHeight="1">
      <c r="A263" t="inlineStr">
        <is>
          <t>A 20918-2021</t>
        </is>
      </c>
      <c r="B263" s="1" t="n">
        <v>44319</v>
      </c>
      <c r="C263" s="1" t="n">
        <v>45210</v>
      </c>
      <c r="D263" t="inlineStr">
        <is>
          <t>DALARNAS LÄN</t>
        </is>
      </c>
      <c r="E263" t="inlineStr">
        <is>
          <t>MALUNG-SÄLEN</t>
        </is>
      </c>
      <c r="G263" t="n">
        <v>41.2</v>
      </c>
      <c r="H263" t="n">
        <v>0</v>
      </c>
      <c r="I263" t="n">
        <v>0</v>
      </c>
      <c r="J263" t="n">
        <v>2</v>
      </c>
      <c r="K263" t="n">
        <v>0</v>
      </c>
      <c r="L263" t="n">
        <v>0</v>
      </c>
      <c r="M263" t="n">
        <v>0</v>
      </c>
      <c r="N263" t="n">
        <v>0</v>
      </c>
      <c r="O263" t="n">
        <v>2</v>
      </c>
      <c r="P263" t="n">
        <v>0</v>
      </c>
      <c r="Q263" t="n">
        <v>2</v>
      </c>
      <c r="R263" s="2" t="inlineStr">
        <is>
          <t>Gammelgransskål
Garnlav</t>
        </is>
      </c>
      <c r="S263">
        <f>HYPERLINK("https://klasma.github.io/Logging_2023/artfynd/A 20918-2021.xlsx", "A 20918-2021")</f>
        <v/>
      </c>
      <c r="T263">
        <f>HYPERLINK("https://klasma.github.io/Logging_2023/kartor/A 20918-2021.png", "A 20918-2021")</f>
        <v/>
      </c>
      <c r="V263">
        <f>HYPERLINK("https://klasma.github.io/Logging_2023/klagomål/A 20918-2021.docx", "A 20918-2021")</f>
        <v/>
      </c>
      <c r="W263">
        <f>HYPERLINK("https://klasma.github.io/Logging_2023/klagomålsmail/A 20918-2021.docx", "A 20918-2021")</f>
        <v/>
      </c>
      <c r="X263">
        <f>HYPERLINK("https://klasma.github.io/Logging_2023/tillsyn/A 20918-2021.docx", "A 20918-2021")</f>
        <v/>
      </c>
      <c r="Y263">
        <f>HYPERLINK("https://klasma.github.io/Logging_2023/tillsynsmail/A 20918-2021.docx", "A 20918-2021")</f>
        <v/>
      </c>
    </row>
    <row r="264" ht="15" customHeight="1">
      <c r="A264" t="inlineStr">
        <is>
          <t>A 21403-2021</t>
        </is>
      </c>
      <c r="B264" s="1" t="n">
        <v>44321</v>
      </c>
      <c r="C264" s="1" t="n">
        <v>45210</v>
      </c>
      <c r="D264" t="inlineStr">
        <is>
          <t>DALARNAS LÄN</t>
        </is>
      </c>
      <c r="E264" t="inlineStr">
        <is>
          <t>SMEDJEBACKEN</t>
        </is>
      </c>
      <c r="G264" t="n">
        <v>1.6</v>
      </c>
      <c r="H264" t="n">
        <v>1</v>
      </c>
      <c r="I264" t="n">
        <v>0</v>
      </c>
      <c r="J264" t="n">
        <v>1</v>
      </c>
      <c r="K264" t="n">
        <v>0</v>
      </c>
      <c r="L264" t="n">
        <v>0</v>
      </c>
      <c r="M264" t="n">
        <v>0</v>
      </c>
      <c r="N264" t="n">
        <v>0</v>
      </c>
      <c r="O264" t="n">
        <v>1</v>
      </c>
      <c r="P264" t="n">
        <v>0</v>
      </c>
      <c r="Q264" t="n">
        <v>2</v>
      </c>
      <c r="R264" s="2" t="inlineStr">
        <is>
          <t>Motaggsvamp
Blåsippa</t>
        </is>
      </c>
      <c r="S264">
        <f>HYPERLINK("https://klasma.github.io/Logging_2061/artfynd/A 21403-2021.xlsx", "A 21403-2021")</f>
        <v/>
      </c>
      <c r="T264">
        <f>HYPERLINK("https://klasma.github.io/Logging_2061/kartor/A 21403-2021.png", "A 21403-2021")</f>
        <v/>
      </c>
      <c r="V264">
        <f>HYPERLINK("https://klasma.github.io/Logging_2061/klagomål/A 21403-2021.docx", "A 21403-2021")</f>
        <v/>
      </c>
      <c r="W264">
        <f>HYPERLINK("https://klasma.github.io/Logging_2061/klagomålsmail/A 21403-2021.docx", "A 21403-2021")</f>
        <v/>
      </c>
      <c r="X264">
        <f>HYPERLINK("https://klasma.github.io/Logging_2061/tillsyn/A 21403-2021.docx", "A 21403-2021")</f>
        <v/>
      </c>
      <c r="Y264">
        <f>HYPERLINK("https://klasma.github.io/Logging_2061/tillsynsmail/A 21403-2021.docx", "A 21403-2021")</f>
        <v/>
      </c>
    </row>
    <row r="265" ht="15" customHeight="1">
      <c r="A265" t="inlineStr">
        <is>
          <t>A 21885-2021</t>
        </is>
      </c>
      <c r="B265" s="1" t="n">
        <v>44322</v>
      </c>
      <c r="C265" s="1" t="n">
        <v>45210</v>
      </c>
      <c r="D265" t="inlineStr">
        <is>
          <t>DALARNAS LÄN</t>
        </is>
      </c>
      <c r="E265" t="inlineStr">
        <is>
          <t>LUDVIKA</t>
        </is>
      </c>
      <c r="F265" t="inlineStr">
        <is>
          <t>Bergvik skog väst AB</t>
        </is>
      </c>
      <c r="G265" t="n">
        <v>4.8</v>
      </c>
      <c r="H265" t="n">
        <v>0</v>
      </c>
      <c r="I265" t="n">
        <v>0</v>
      </c>
      <c r="J265" t="n">
        <v>1</v>
      </c>
      <c r="K265" t="n">
        <v>1</v>
      </c>
      <c r="L265" t="n">
        <v>0</v>
      </c>
      <c r="M265" t="n">
        <v>0</v>
      </c>
      <c r="N265" t="n">
        <v>0</v>
      </c>
      <c r="O265" t="n">
        <v>2</v>
      </c>
      <c r="P265" t="n">
        <v>1</v>
      </c>
      <c r="Q265" t="n">
        <v>2</v>
      </c>
      <c r="R265" s="2" t="inlineStr">
        <is>
          <t>Allékantlav
Veckticka</t>
        </is>
      </c>
      <c r="S265">
        <f>HYPERLINK("https://klasma.github.io/Logging_2085/artfynd/A 21885-2021.xlsx", "A 21885-2021")</f>
        <v/>
      </c>
      <c r="T265">
        <f>HYPERLINK("https://klasma.github.io/Logging_2085/kartor/A 21885-2021.png", "A 21885-2021")</f>
        <v/>
      </c>
      <c r="V265">
        <f>HYPERLINK("https://klasma.github.io/Logging_2085/klagomål/A 21885-2021.docx", "A 21885-2021")</f>
        <v/>
      </c>
      <c r="W265">
        <f>HYPERLINK("https://klasma.github.io/Logging_2085/klagomålsmail/A 21885-2021.docx", "A 21885-2021")</f>
        <v/>
      </c>
      <c r="X265">
        <f>HYPERLINK("https://klasma.github.io/Logging_2085/tillsyn/A 21885-2021.docx", "A 21885-2021")</f>
        <v/>
      </c>
      <c r="Y265">
        <f>HYPERLINK("https://klasma.github.io/Logging_2085/tillsynsmail/A 21885-2021.docx", "A 21885-2021")</f>
        <v/>
      </c>
    </row>
    <row r="266" ht="15" customHeight="1">
      <c r="A266" t="inlineStr">
        <is>
          <t>A 28066-2021</t>
        </is>
      </c>
      <c r="B266" s="1" t="n">
        <v>44355</v>
      </c>
      <c r="C266" s="1" t="n">
        <v>45210</v>
      </c>
      <c r="D266" t="inlineStr">
        <is>
          <t>DALARNAS LÄN</t>
        </is>
      </c>
      <c r="E266" t="inlineStr">
        <is>
          <t>HEDEMORA</t>
        </is>
      </c>
      <c r="F266" t="inlineStr">
        <is>
          <t>Sveaskog</t>
        </is>
      </c>
      <c r="G266" t="n">
        <v>1.7</v>
      </c>
      <c r="H266" t="n">
        <v>1</v>
      </c>
      <c r="I266" t="n">
        <v>1</v>
      </c>
      <c r="J266" t="n">
        <v>0</v>
      </c>
      <c r="K266" t="n">
        <v>0</v>
      </c>
      <c r="L266" t="n">
        <v>0</v>
      </c>
      <c r="M266" t="n">
        <v>0</v>
      </c>
      <c r="N266" t="n">
        <v>0</v>
      </c>
      <c r="O266" t="n">
        <v>0</v>
      </c>
      <c r="P266" t="n">
        <v>0</v>
      </c>
      <c r="Q266" t="n">
        <v>2</v>
      </c>
      <c r="R266" s="2" t="inlineStr">
        <is>
          <t>Bronshjon
Vanlig groda</t>
        </is>
      </c>
      <c r="S266">
        <f>HYPERLINK("https://klasma.github.io/Logging_2083/artfynd/A 28066-2021.xlsx", "A 28066-2021")</f>
        <v/>
      </c>
      <c r="T266">
        <f>HYPERLINK("https://klasma.github.io/Logging_2083/kartor/A 28066-2021.png", "A 28066-2021")</f>
        <v/>
      </c>
      <c r="V266">
        <f>HYPERLINK("https://klasma.github.io/Logging_2083/klagomål/A 28066-2021.docx", "A 28066-2021")</f>
        <v/>
      </c>
      <c r="W266">
        <f>HYPERLINK("https://klasma.github.io/Logging_2083/klagomålsmail/A 28066-2021.docx", "A 28066-2021")</f>
        <v/>
      </c>
      <c r="X266">
        <f>HYPERLINK("https://klasma.github.io/Logging_2083/tillsyn/A 28066-2021.docx", "A 28066-2021")</f>
        <v/>
      </c>
      <c r="Y266">
        <f>HYPERLINK("https://klasma.github.io/Logging_2083/tillsynsmail/A 28066-2021.docx", "A 28066-2021")</f>
        <v/>
      </c>
    </row>
    <row r="267" ht="15" customHeight="1">
      <c r="A267" t="inlineStr">
        <is>
          <t>A 30615-2021</t>
        </is>
      </c>
      <c r="B267" s="1" t="n">
        <v>44365</v>
      </c>
      <c r="C267" s="1" t="n">
        <v>45210</v>
      </c>
      <c r="D267" t="inlineStr">
        <is>
          <t>DALARNAS LÄN</t>
        </is>
      </c>
      <c r="E267" t="inlineStr">
        <is>
          <t>ÄLVDALEN</t>
        </is>
      </c>
      <c r="F267" t="inlineStr">
        <is>
          <t>Sveaskog</t>
        </is>
      </c>
      <c r="G267" t="n">
        <v>22.8</v>
      </c>
      <c r="H267" t="n">
        <v>0</v>
      </c>
      <c r="I267" t="n">
        <v>1</v>
      </c>
      <c r="J267" t="n">
        <v>0</v>
      </c>
      <c r="K267" t="n">
        <v>1</v>
      </c>
      <c r="L267" t="n">
        <v>0</v>
      </c>
      <c r="M267" t="n">
        <v>0</v>
      </c>
      <c r="N267" t="n">
        <v>0</v>
      </c>
      <c r="O267" t="n">
        <v>1</v>
      </c>
      <c r="P267" t="n">
        <v>1</v>
      </c>
      <c r="Q267" t="n">
        <v>2</v>
      </c>
      <c r="R267" s="2" t="inlineStr">
        <is>
          <t>Smalfotad taggsvamp
Dropptaggsvamp</t>
        </is>
      </c>
      <c r="S267">
        <f>HYPERLINK("https://klasma.github.io/Logging_2039/artfynd/A 30615-2021.xlsx", "A 30615-2021")</f>
        <v/>
      </c>
      <c r="T267">
        <f>HYPERLINK("https://klasma.github.io/Logging_2039/kartor/A 30615-2021.png", "A 30615-2021")</f>
        <v/>
      </c>
      <c r="V267">
        <f>HYPERLINK("https://klasma.github.io/Logging_2039/klagomål/A 30615-2021.docx", "A 30615-2021")</f>
        <v/>
      </c>
      <c r="W267">
        <f>HYPERLINK("https://klasma.github.io/Logging_2039/klagomålsmail/A 30615-2021.docx", "A 30615-2021")</f>
        <v/>
      </c>
      <c r="X267">
        <f>HYPERLINK("https://klasma.github.io/Logging_2039/tillsyn/A 30615-2021.docx", "A 30615-2021")</f>
        <v/>
      </c>
      <c r="Y267">
        <f>HYPERLINK("https://klasma.github.io/Logging_2039/tillsynsmail/A 30615-2021.docx", "A 30615-2021")</f>
        <v/>
      </c>
    </row>
    <row r="268" ht="15" customHeight="1">
      <c r="A268" t="inlineStr">
        <is>
          <t>A 34361-2021</t>
        </is>
      </c>
      <c r="B268" s="1" t="n">
        <v>44379</v>
      </c>
      <c r="C268" s="1" t="n">
        <v>45210</v>
      </c>
      <c r="D268" t="inlineStr">
        <is>
          <t>DALARNAS LÄN</t>
        </is>
      </c>
      <c r="E268" t="inlineStr">
        <is>
          <t>HEDEMORA</t>
        </is>
      </c>
      <c r="F268" t="inlineStr">
        <is>
          <t>Sveaskog</t>
        </is>
      </c>
      <c r="G268" t="n">
        <v>1</v>
      </c>
      <c r="H268" t="n">
        <v>1</v>
      </c>
      <c r="I268" t="n">
        <v>0</v>
      </c>
      <c r="J268" t="n">
        <v>1</v>
      </c>
      <c r="K268" t="n">
        <v>1</v>
      </c>
      <c r="L268" t="n">
        <v>0</v>
      </c>
      <c r="M268" t="n">
        <v>0</v>
      </c>
      <c r="N268" t="n">
        <v>0</v>
      </c>
      <c r="O268" t="n">
        <v>2</v>
      </c>
      <c r="P268" t="n">
        <v>1</v>
      </c>
      <c r="Q268" t="n">
        <v>2</v>
      </c>
      <c r="R268" s="2" t="inlineStr">
        <is>
          <t>Knärot
Dofttaggsvamp</t>
        </is>
      </c>
      <c r="S268">
        <f>HYPERLINK("https://klasma.github.io/Logging_2083/artfynd/A 34361-2021.xlsx", "A 34361-2021")</f>
        <v/>
      </c>
      <c r="T268">
        <f>HYPERLINK("https://klasma.github.io/Logging_2083/kartor/A 34361-2021.png", "A 34361-2021")</f>
        <v/>
      </c>
      <c r="U268">
        <f>HYPERLINK("https://klasma.github.io/Logging_2083/knärot/A 34361-2021.png", "A 34361-2021")</f>
        <v/>
      </c>
      <c r="V268">
        <f>HYPERLINK("https://klasma.github.io/Logging_2083/klagomål/A 34361-2021.docx", "A 34361-2021")</f>
        <v/>
      </c>
      <c r="W268">
        <f>HYPERLINK("https://klasma.github.io/Logging_2083/klagomålsmail/A 34361-2021.docx", "A 34361-2021")</f>
        <v/>
      </c>
      <c r="X268">
        <f>HYPERLINK("https://klasma.github.io/Logging_2083/tillsyn/A 34361-2021.docx", "A 34361-2021")</f>
        <v/>
      </c>
      <c r="Y268">
        <f>HYPERLINK("https://klasma.github.io/Logging_2083/tillsynsmail/A 34361-2021.docx", "A 34361-2021")</f>
        <v/>
      </c>
    </row>
    <row r="269" ht="15" customHeight="1">
      <c r="A269" t="inlineStr">
        <is>
          <t>A 40537-2021</t>
        </is>
      </c>
      <c r="B269" s="1" t="n">
        <v>44420</v>
      </c>
      <c r="C269" s="1" t="n">
        <v>45210</v>
      </c>
      <c r="D269" t="inlineStr">
        <is>
          <t>DALARNAS LÄN</t>
        </is>
      </c>
      <c r="E269" t="inlineStr">
        <is>
          <t>SMEDJEBACKEN</t>
        </is>
      </c>
      <c r="F269" t="inlineStr">
        <is>
          <t>Övriga Aktiebolag</t>
        </is>
      </c>
      <c r="G269" t="n">
        <v>10</v>
      </c>
      <c r="H269" t="n">
        <v>2</v>
      </c>
      <c r="I269" t="n">
        <v>0</v>
      </c>
      <c r="J269" t="n">
        <v>1</v>
      </c>
      <c r="K269" t="n">
        <v>0</v>
      </c>
      <c r="L269" t="n">
        <v>0</v>
      </c>
      <c r="M269" t="n">
        <v>0</v>
      </c>
      <c r="N269" t="n">
        <v>0</v>
      </c>
      <c r="O269" t="n">
        <v>1</v>
      </c>
      <c r="P269" t="n">
        <v>0</v>
      </c>
      <c r="Q269" t="n">
        <v>2</v>
      </c>
      <c r="R269" s="2" t="inlineStr">
        <is>
          <t>Tretåig hackspett
Blåsippa</t>
        </is>
      </c>
      <c r="S269">
        <f>HYPERLINK("https://klasma.github.io/Logging_2061/artfynd/A 40537-2021.xlsx", "A 40537-2021")</f>
        <v/>
      </c>
      <c r="T269">
        <f>HYPERLINK("https://klasma.github.io/Logging_2061/kartor/A 40537-2021.png", "A 40537-2021")</f>
        <v/>
      </c>
      <c r="V269">
        <f>HYPERLINK("https://klasma.github.io/Logging_2061/klagomål/A 40537-2021.docx", "A 40537-2021")</f>
        <v/>
      </c>
      <c r="W269">
        <f>HYPERLINK("https://klasma.github.io/Logging_2061/klagomålsmail/A 40537-2021.docx", "A 40537-2021")</f>
        <v/>
      </c>
      <c r="X269">
        <f>HYPERLINK("https://klasma.github.io/Logging_2061/tillsyn/A 40537-2021.docx", "A 40537-2021")</f>
        <v/>
      </c>
      <c r="Y269">
        <f>HYPERLINK("https://klasma.github.io/Logging_2061/tillsynsmail/A 40537-2021.docx", "A 40537-2021")</f>
        <v/>
      </c>
    </row>
    <row r="270" ht="15" customHeight="1">
      <c r="A270" t="inlineStr">
        <is>
          <t>A 40578-2021</t>
        </is>
      </c>
      <c r="B270" s="1" t="n">
        <v>44420</v>
      </c>
      <c r="C270" s="1" t="n">
        <v>45210</v>
      </c>
      <c r="D270" t="inlineStr">
        <is>
          <t>DALARNAS LÄN</t>
        </is>
      </c>
      <c r="E270" t="inlineStr">
        <is>
          <t>BORLÄNGE</t>
        </is>
      </c>
      <c r="G270" t="n">
        <v>3.8</v>
      </c>
      <c r="H270" t="n">
        <v>2</v>
      </c>
      <c r="I270" t="n">
        <v>0</v>
      </c>
      <c r="J270" t="n">
        <v>0</v>
      </c>
      <c r="K270" t="n">
        <v>1</v>
      </c>
      <c r="L270" t="n">
        <v>0</v>
      </c>
      <c r="M270" t="n">
        <v>0</v>
      </c>
      <c r="N270" t="n">
        <v>0</v>
      </c>
      <c r="O270" t="n">
        <v>1</v>
      </c>
      <c r="P270" t="n">
        <v>1</v>
      </c>
      <c r="Q270" t="n">
        <v>2</v>
      </c>
      <c r="R270" s="2" t="inlineStr">
        <is>
          <t>Knärot
Revlummer</t>
        </is>
      </c>
      <c r="S270">
        <f>HYPERLINK("https://klasma.github.io/Logging_2081/artfynd/A 40578-2021.xlsx", "A 40578-2021")</f>
        <v/>
      </c>
      <c r="T270">
        <f>HYPERLINK("https://klasma.github.io/Logging_2081/kartor/A 40578-2021.png", "A 40578-2021")</f>
        <v/>
      </c>
      <c r="U270">
        <f>HYPERLINK("https://klasma.github.io/Logging_2081/knärot/A 40578-2021.png", "A 40578-2021")</f>
        <v/>
      </c>
      <c r="V270">
        <f>HYPERLINK("https://klasma.github.io/Logging_2081/klagomål/A 40578-2021.docx", "A 40578-2021")</f>
        <v/>
      </c>
      <c r="W270">
        <f>HYPERLINK("https://klasma.github.io/Logging_2081/klagomålsmail/A 40578-2021.docx", "A 40578-2021")</f>
        <v/>
      </c>
      <c r="X270">
        <f>HYPERLINK("https://klasma.github.io/Logging_2081/tillsyn/A 40578-2021.docx", "A 40578-2021")</f>
        <v/>
      </c>
      <c r="Y270">
        <f>HYPERLINK("https://klasma.github.io/Logging_2081/tillsynsmail/A 40578-2021.docx", "A 40578-2021")</f>
        <v/>
      </c>
    </row>
    <row r="271" ht="15" customHeight="1">
      <c r="A271" t="inlineStr">
        <is>
          <t>A 44407-2021</t>
        </is>
      </c>
      <c r="B271" s="1" t="n">
        <v>44435</v>
      </c>
      <c r="C271" s="1" t="n">
        <v>45210</v>
      </c>
      <c r="D271" t="inlineStr">
        <is>
          <t>DALARNAS LÄN</t>
        </is>
      </c>
      <c r="E271" t="inlineStr">
        <is>
          <t>ÄLVDALEN</t>
        </is>
      </c>
      <c r="F271" t="inlineStr">
        <is>
          <t>Sveaskog</t>
        </is>
      </c>
      <c r="G271" t="n">
        <v>4.4</v>
      </c>
      <c r="H271" t="n">
        <v>0</v>
      </c>
      <c r="I271" t="n">
        <v>1</v>
      </c>
      <c r="J271" t="n">
        <v>1</v>
      </c>
      <c r="K271" t="n">
        <v>0</v>
      </c>
      <c r="L271" t="n">
        <v>0</v>
      </c>
      <c r="M271" t="n">
        <v>0</v>
      </c>
      <c r="N271" t="n">
        <v>0</v>
      </c>
      <c r="O271" t="n">
        <v>1</v>
      </c>
      <c r="P271" t="n">
        <v>0</v>
      </c>
      <c r="Q271" t="n">
        <v>2</v>
      </c>
      <c r="R271" s="2" t="inlineStr">
        <is>
          <t>Garnlav
Dropptaggsvamp</t>
        </is>
      </c>
      <c r="S271">
        <f>HYPERLINK("https://klasma.github.io/Logging_2039/artfynd/A 44407-2021.xlsx", "A 44407-2021")</f>
        <v/>
      </c>
      <c r="T271">
        <f>HYPERLINK("https://klasma.github.io/Logging_2039/kartor/A 44407-2021.png", "A 44407-2021")</f>
        <v/>
      </c>
      <c r="V271">
        <f>HYPERLINK("https://klasma.github.io/Logging_2039/klagomål/A 44407-2021.docx", "A 44407-2021")</f>
        <v/>
      </c>
      <c r="W271">
        <f>HYPERLINK("https://klasma.github.io/Logging_2039/klagomålsmail/A 44407-2021.docx", "A 44407-2021")</f>
        <v/>
      </c>
      <c r="X271">
        <f>HYPERLINK("https://klasma.github.io/Logging_2039/tillsyn/A 44407-2021.docx", "A 44407-2021")</f>
        <v/>
      </c>
      <c r="Y271">
        <f>HYPERLINK("https://klasma.github.io/Logging_2039/tillsynsmail/A 44407-2021.docx", "A 44407-2021")</f>
        <v/>
      </c>
    </row>
    <row r="272" ht="15" customHeight="1">
      <c r="A272" t="inlineStr">
        <is>
          <t>A 45884-2021</t>
        </is>
      </c>
      <c r="B272" s="1" t="n">
        <v>44441</v>
      </c>
      <c r="C272" s="1" t="n">
        <v>45210</v>
      </c>
      <c r="D272" t="inlineStr">
        <is>
          <t>DALARNAS LÄN</t>
        </is>
      </c>
      <c r="E272" t="inlineStr">
        <is>
          <t>HEDEMORA</t>
        </is>
      </c>
      <c r="G272" t="n">
        <v>0.9</v>
      </c>
      <c r="H272" t="n">
        <v>1</v>
      </c>
      <c r="I272" t="n">
        <v>1</v>
      </c>
      <c r="J272" t="n">
        <v>0</v>
      </c>
      <c r="K272" t="n">
        <v>1</v>
      </c>
      <c r="L272" t="n">
        <v>0</v>
      </c>
      <c r="M272" t="n">
        <v>0</v>
      </c>
      <c r="N272" t="n">
        <v>0</v>
      </c>
      <c r="O272" t="n">
        <v>1</v>
      </c>
      <c r="P272" t="n">
        <v>1</v>
      </c>
      <c r="Q272" t="n">
        <v>2</v>
      </c>
      <c r="R272" s="2" t="inlineStr">
        <is>
          <t>Knärot
Bollvitmossa</t>
        </is>
      </c>
      <c r="S272">
        <f>HYPERLINK("https://klasma.github.io/Logging_2083/artfynd/A 45884-2021.xlsx", "A 45884-2021")</f>
        <v/>
      </c>
      <c r="T272">
        <f>HYPERLINK("https://klasma.github.io/Logging_2083/kartor/A 45884-2021.png", "A 45884-2021")</f>
        <v/>
      </c>
      <c r="U272">
        <f>HYPERLINK("https://klasma.github.io/Logging_2083/knärot/A 45884-2021.png", "A 45884-2021")</f>
        <v/>
      </c>
      <c r="V272">
        <f>HYPERLINK("https://klasma.github.io/Logging_2083/klagomål/A 45884-2021.docx", "A 45884-2021")</f>
        <v/>
      </c>
      <c r="W272">
        <f>HYPERLINK("https://klasma.github.io/Logging_2083/klagomålsmail/A 45884-2021.docx", "A 45884-2021")</f>
        <v/>
      </c>
      <c r="X272">
        <f>HYPERLINK("https://klasma.github.io/Logging_2083/tillsyn/A 45884-2021.docx", "A 45884-2021")</f>
        <v/>
      </c>
      <c r="Y272">
        <f>HYPERLINK("https://klasma.github.io/Logging_2083/tillsynsmail/A 45884-2021.docx", "A 45884-2021")</f>
        <v/>
      </c>
    </row>
    <row r="273" ht="15" customHeight="1">
      <c r="A273" t="inlineStr">
        <is>
          <t>A 48937-2021</t>
        </is>
      </c>
      <c r="B273" s="1" t="n">
        <v>44453</v>
      </c>
      <c r="C273" s="1" t="n">
        <v>45210</v>
      </c>
      <c r="D273" t="inlineStr">
        <is>
          <t>DALARNAS LÄN</t>
        </is>
      </c>
      <c r="E273" t="inlineStr">
        <is>
          <t>BORLÄNGE</t>
        </is>
      </c>
      <c r="G273" t="n">
        <v>19.7</v>
      </c>
      <c r="H273" t="n">
        <v>1</v>
      </c>
      <c r="I273" t="n">
        <v>0</v>
      </c>
      <c r="J273" t="n">
        <v>1</v>
      </c>
      <c r="K273" t="n">
        <v>1</v>
      </c>
      <c r="L273" t="n">
        <v>0</v>
      </c>
      <c r="M273" t="n">
        <v>0</v>
      </c>
      <c r="N273" t="n">
        <v>0</v>
      </c>
      <c r="O273" t="n">
        <v>2</v>
      </c>
      <c r="P273" t="n">
        <v>1</v>
      </c>
      <c r="Q273" t="n">
        <v>2</v>
      </c>
      <c r="R273" s="2" t="inlineStr">
        <is>
          <t>Knärot
Motaggsvamp</t>
        </is>
      </c>
      <c r="S273">
        <f>HYPERLINK("https://klasma.github.io/Logging_2081/artfynd/A 48937-2021.xlsx", "A 48937-2021")</f>
        <v/>
      </c>
      <c r="T273">
        <f>HYPERLINK("https://klasma.github.io/Logging_2081/kartor/A 48937-2021.png", "A 48937-2021")</f>
        <v/>
      </c>
      <c r="U273">
        <f>HYPERLINK("https://klasma.github.io/Logging_2081/knärot/A 48937-2021.png", "A 48937-2021")</f>
        <v/>
      </c>
      <c r="V273">
        <f>HYPERLINK("https://klasma.github.io/Logging_2081/klagomål/A 48937-2021.docx", "A 48937-2021")</f>
        <v/>
      </c>
      <c r="W273">
        <f>HYPERLINK("https://klasma.github.io/Logging_2081/klagomålsmail/A 48937-2021.docx", "A 48937-2021")</f>
        <v/>
      </c>
      <c r="X273">
        <f>HYPERLINK("https://klasma.github.io/Logging_2081/tillsyn/A 48937-2021.docx", "A 48937-2021")</f>
        <v/>
      </c>
      <c r="Y273">
        <f>HYPERLINK("https://klasma.github.io/Logging_2081/tillsynsmail/A 48937-2021.docx", "A 48937-2021")</f>
        <v/>
      </c>
    </row>
    <row r="274" ht="15" customHeight="1">
      <c r="A274" t="inlineStr">
        <is>
          <t>A 51992-2021</t>
        </is>
      </c>
      <c r="B274" s="1" t="n">
        <v>44463</v>
      </c>
      <c r="C274" s="1" t="n">
        <v>45210</v>
      </c>
      <c r="D274" t="inlineStr">
        <is>
          <t>DALARNAS LÄN</t>
        </is>
      </c>
      <c r="E274" t="inlineStr">
        <is>
          <t>BORLÄNGE</t>
        </is>
      </c>
      <c r="F274" t="inlineStr">
        <is>
          <t>Bergvik skog väst AB</t>
        </is>
      </c>
      <c r="G274" t="n">
        <v>2</v>
      </c>
      <c r="H274" t="n">
        <v>1</v>
      </c>
      <c r="I274" t="n">
        <v>2</v>
      </c>
      <c r="J274" t="n">
        <v>0</v>
      </c>
      <c r="K274" t="n">
        <v>0</v>
      </c>
      <c r="L274" t="n">
        <v>0</v>
      </c>
      <c r="M274" t="n">
        <v>0</v>
      </c>
      <c r="N274" t="n">
        <v>0</v>
      </c>
      <c r="O274" t="n">
        <v>0</v>
      </c>
      <c r="P274" t="n">
        <v>0</v>
      </c>
      <c r="Q274" t="n">
        <v>2</v>
      </c>
      <c r="R274" s="2" t="inlineStr">
        <is>
          <t>Korallrot
Rödgul trumpetsvamp</t>
        </is>
      </c>
      <c r="S274">
        <f>HYPERLINK("https://klasma.github.io/Logging_2081/artfynd/A 51992-2021.xlsx", "A 51992-2021")</f>
        <v/>
      </c>
      <c r="T274">
        <f>HYPERLINK("https://klasma.github.io/Logging_2081/kartor/A 51992-2021.png", "A 51992-2021")</f>
        <v/>
      </c>
      <c r="V274">
        <f>HYPERLINK("https://klasma.github.io/Logging_2081/klagomål/A 51992-2021.docx", "A 51992-2021")</f>
        <v/>
      </c>
      <c r="W274">
        <f>HYPERLINK("https://klasma.github.io/Logging_2081/klagomålsmail/A 51992-2021.docx", "A 51992-2021")</f>
        <v/>
      </c>
      <c r="X274">
        <f>HYPERLINK("https://klasma.github.io/Logging_2081/tillsyn/A 51992-2021.docx", "A 51992-2021")</f>
        <v/>
      </c>
      <c r="Y274">
        <f>HYPERLINK("https://klasma.github.io/Logging_2081/tillsynsmail/A 51992-2021.docx", "A 51992-2021")</f>
        <v/>
      </c>
    </row>
    <row r="275" ht="15" customHeight="1">
      <c r="A275" t="inlineStr">
        <is>
          <t>A 54632-2021</t>
        </is>
      </c>
      <c r="B275" s="1" t="n">
        <v>44473</v>
      </c>
      <c r="C275" s="1" t="n">
        <v>45210</v>
      </c>
      <c r="D275" t="inlineStr">
        <is>
          <t>DALARNAS LÄN</t>
        </is>
      </c>
      <c r="E275" t="inlineStr">
        <is>
          <t>ÄLVDALEN</t>
        </is>
      </c>
      <c r="G275" t="n">
        <v>4.8</v>
      </c>
      <c r="H275" t="n">
        <v>1</v>
      </c>
      <c r="I275" t="n">
        <v>0</v>
      </c>
      <c r="J275" t="n">
        <v>2</v>
      </c>
      <c r="K275" t="n">
        <v>0</v>
      </c>
      <c r="L275" t="n">
        <v>0</v>
      </c>
      <c r="M275" t="n">
        <v>0</v>
      </c>
      <c r="N275" t="n">
        <v>0</v>
      </c>
      <c r="O275" t="n">
        <v>2</v>
      </c>
      <c r="P275" t="n">
        <v>0</v>
      </c>
      <c r="Q275" t="n">
        <v>2</v>
      </c>
      <c r="R275" s="2" t="inlineStr">
        <is>
          <t>Varglav
Vedflamlav</t>
        </is>
      </c>
      <c r="S275">
        <f>HYPERLINK("https://klasma.github.io/Logging_2039/artfynd/A 54632-2021.xlsx", "A 54632-2021")</f>
        <v/>
      </c>
      <c r="T275">
        <f>HYPERLINK("https://klasma.github.io/Logging_2039/kartor/A 54632-2021.png", "A 54632-2021")</f>
        <v/>
      </c>
      <c r="V275">
        <f>HYPERLINK("https://klasma.github.io/Logging_2039/klagomål/A 54632-2021.docx", "A 54632-2021")</f>
        <v/>
      </c>
      <c r="W275">
        <f>HYPERLINK("https://klasma.github.io/Logging_2039/klagomålsmail/A 54632-2021.docx", "A 54632-2021")</f>
        <v/>
      </c>
      <c r="X275">
        <f>HYPERLINK("https://klasma.github.io/Logging_2039/tillsyn/A 54632-2021.docx", "A 54632-2021")</f>
        <v/>
      </c>
      <c r="Y275">
        <f>HYPERLINK("https://klasma.github.io/Logging_2039/tillsynsmail/A 54632-2021.docx", "A 54632-2021")</f>
        <v/>
      </c>
    </row>
    <row r="276" ht="15" customHeight="1">
      <c r="A276" t="inlineStr">
        <is>
          <t>A 55519-2021</t>
        </is>
      </c>
      <c r="B276" s="1" t="n">
        <v>44475</v>
      </c>
      <c r="C276" s="1" t="n">
        <v>45210</v>
      </c>
      <c r="D276" t="inlineStr">
        <is>
          <t>DALARNAS LÄN</t>
        </is>
      </c>
      <c r="E276" t="inlineStr">
        <is>
          <t>LEKSAND</t>
        </is>
      </c>
      <c r="G276" t="n">
        <v>1.8</v>
      </c>
      <c r="H276" t="n">
        <v>2</v>
      </c>
      <c r="I276" t="n">
        <v>0</v>
      </c>
      <c r="J276" t="n">
        <v>0</v>
      </c>
      <c r="K276" t="n">
        <v>0</v>
      </c>
      <c r="L276" t="n">
        <v>0</v>
      </c>
      <c r="M276" t="n">
        <v>0</v>
      </c>
      <c r="N276" t="n">
        <v>0</v>
      </c>
      <c r="O276" t="n">
        <v>0</v>
      </c>
      <c r="P276" t="n">
        <v>0</v>
      </c>
      <c r="Q276" t="n">
        <v>2</v>
      </c>
      <c r="R276" s="2" t="inlineStr">
        <is>
          <t>Fläcknycklar
Mattlummer</t>
        </is>
      </c>
      <c r="S276">
        <f>HYPERLINK("https://klasma.github.io/Logging_2029/artfynd/A 55519-2021.xlsx", "A 55519-2021")</f>
        <v/>
      </c>
      <c r="T276">
        <f>HYPERLINK("https://klasma.github.io/Logging_2029/kartor/A 55519-2021.png", "A 55519-2021")</f>
        <v/>
      </c>
      <c r="V276">
        <f>HYPERLINK("https://klasma.github.io/Logging_2029/klagomål/A 55519-2021.docx", "A 55519-2021")</f>
        <v/>
      </c>
      <c r="W276">
        <f>HYPERLINK("https://klasma.github.io/Logging_2029/klagomålsmail/A 55519-2021.docx", "A 55519-2021")</f>
        <v/>
      </c>
      <c r="X276">
        <f>HYPERLINK("https://klasma.github.io/Logging_2029/tillsyn/A 55519-2021.docx", "A 55519-2021")</f>
        <v/>
      </c>
      <c r="Y276">
        <f>HYPERLINK("https://klasma.github.io/Logging_2029/tillsynsmail/A 55519-2021.docx", "A 55519-2021")</f>
        <v/>
      </c>
    </row>
    <row r="277" ht="15" customHeight="1">
      <c r="A277" t="inlineStr">
        <is>
          <t>A 56632-2021</t>
        </is>
      </c>
      <c r="B277" s="1" t="n">
        <v>44480</v>
      </c>
      <c r="C277" s="1" t="n">
        <v>45210</v>
      </c>
      <c r="D277" t="inlineStr">
        <is>
          <t>DALARNAS LÄN</t>
        </is>
      </c>
      <c r="E277" t="inlineStr">
        <is>
          <t>LUDVIKA</t>
        </is>
      </c>
      <c r="G277" t="n">
        <v>17.1</v>
      </c>
      <c r="H277" t="n">
        <v>0</v>
      </c>
      <c r="I277" t="n">
        <v>2</v>
      </c>
      <c r="J277" t="n">
        <v>0</v>
      </c>
      <c r="K277" t="n">
        <v>0</v>
      </c>
      <c r="L277" t="n">
        <v>0</v>
      </c>
      <c r="M277" t="n">
        <v>0</v>
      </c>
      <c r="N277" t="n">
        <v>0</v>
      </c>
      <c r="O277" t="n">
        <v>0</v>
      </c>
      <c r="P277" t="n">
        <v>0</v>
      </c>
      <c r="Q277" t="n">
        <v>2</v>
      </c>
      <c r="R277" s="2" t="inlineStr">
        <is>
          <t>Gräsull
Skinnlav</t>
        </is>
      </c>
      <c r="S277">
        <f>HYPERLINK("https://klasma.github.io/Logging_2085/artfynd/A 56632-2021.xlsx", "A 56632-2021")</f>
        <v/>
      </c>
      <c r="T277">
        <f>HYPERLINK("https://klasma.github.io/Logging_2085/kartor/A 56632-2021.png", "A 56632-2021")</f>
        <v/>
      </c>
      <c r="V277">
        <f>HYPERLINK("https://klasma.github.io/Logging_2085/klagomål/A 56632-2021.docx", "A 56632-2021")</f>
        <v/>
      </c>
      <c r="W277">
        <f>HYPERLINK("https://klasma.github.io/Logging_2085/klagomålsmail/A 56632-2021.docx", "A 56632-2021")</f>
        <v/>
      </c>
      <c r="X277">
        <f>HYPERLINK("https://klasma.github.io/Logging_2085/tillsyn/A 56632-2021.docx", "A 56632-2021")</f>
        <v/>
      </c>
      <c r="Y277">
        <f>HYPERLINK("https://klasma.github.io/Logging_2085/tillsynsmail/A 56632-2021.docx", "A 56632-2021")</f>
        <v/>
      </c>
    </row>
    <row r="278" ht="15" customHeight="1">
      <c r="A278" t="inlineStr">
        <is>
          <t>A 59701-2021</t>
        </is>
      </c>
      <c r="B278" s="1" t="n">
        <v>44494</v>
      </c>
      <c r="C278" s="1" t="n">
        <v>45210</v>
      </c>
      <c r="D278" t="inlineStr">
        <is>
          <t>DALARNAS LÄN</t>
        </is>
      </c>
      <c r="E278" t="inlineStr">
        <is>
          <t>BORLÄNGE</t>
        </is>
      </c>
      <c r="G278" t="n">
        <v>3.9</v>
      </c>
      <c r="H278" t="n">
        <v>0</v>
      </c>
      <c r="I278" t="n">
        <v>1</v>
      </c>
      <c r="J278" t="n">
        <v>1</v>
      </c>
      <c r="K278" t="n">
        <v>0</v>
      </c>
      <c r="L278" t="n">
        <v>0</v>
      </c>
      <c r="M278" t="n">
        <v>0</v>
      </c>
      <c r="N278" t="n">
        <v>0</v>
      </c>
      <c r="O278" t="n">
        <v>1</v>
      </c>
      <c r="P278" t="n">
        <v>0</v>
      </c>
      <c r="Q278" t="n">
        <v>2</v>
      </c>
      <c r="R278" s="2" t="inlineStr">
        <is>
          <t>Ullticka
Svavelriska</t>
        </is>
      </c>
      <c r="S278">
        <f>HYPERLINK("https://klasma.github.io/Logging_2081/artfynd/A 59701-2021.xlsx", "A 59701-2021")</f>
        <v/>
      </c>
      <c r="T278">
        <f>HYPERLINK("https://klasma.github.io/Logging_2081/kartor/A 59701-2021.png", "A 59701-2021")</f>
        <v/>
      </c>
      <c r="V278">
        <f>HYPERLINK("https://klasma.github.io/Logging_2081/klagomål/A 59701-2021.docx", "A 59701-2021")</f>
        <v/>
      </c>
      <c r="W278">
        <f>HYPERLINK("https://klasma.github.io/Logging_2081/klagomålsmail/A 59701-2021.docx", "A 59701-2021")</f>
        <v/>
      </c>
      <c r="X278">
        <f>HYPERLINK("https://klasma.github.io/Logging_2081/tillsyn/A 59701-2021.docx", "A 59701-2021")</f>
        <v/>
      </c>
      <c r="Y278">
        <f>HYPERLINK("https://klasma.github.io/Logging_2081/tillsynsmail/A 59701-2021.docx", "A 59701-2021")</f>
        <v/>
      </c>
    </row>
    <row r="279" ht="15" customHeight="1">
      <c r="A279" t="inlineStr">
        <is>
          <t>A 63118-2021</t>
        </is>
      </c>
      <c r="B279" s="1" t="n">
        <v>44505</v>
      </c>
      <c r="C279" s="1" t="n">
        <v>45210</v>
      </c>
      <c r="D279" t="inlineStr">
        <is>
          <t>DALARNAS LÄN</t>
        </is>
      </c>
      <c r="E279" t="inlineStr">
        <is>
          <t>BORLÄNGE</t>
        </is>
      </c>
      <c r="G279" t="n">
        <v>11.9</v>
      </c>
      <c r="H279" t="n">
        <v>1</v>
      </c>
      <c r="I279" t="n">
        <v>1</v>
      </c>
      <c r="J279" t="n">
        <v>0</v>
      </c>
      <c r="K279" t="n">
        <v>1</v>
      </c>
      <c r="L279" t="n">
        <v>0</v>
      </c>
      <c r="M279" t="n">
        <v>0</v>
      </c>
      <c r="N279" t="n">
        <v>0</v>
      </c>
      <c r="O279" t="n">
        <v>1</v>
      </c>
      <c r="P279" t="n">
        <v>1</v>
      </c>
      <c r="Q279" t="n">
        <v>2</v>
      </c>
      <c r="R279" s="2" t="inlineStr">
        <is>
          <t>Knärot
Dropptaggsvamp</t>
        </is>
      </c>
      <c r="S279">
        <f>HYPERLINK("https://klasma.github.io/Logging_2081/artfynd/A 63118-2021.xlsx", "A 63118-2021")</f>
        <v/>
      </c>
      <c r="T279">
        <f>HYPERLINK("https://klasma.github.io/Logging_2081/kartor/A 63118-2021.png", "A 63118-2021")</f>
        <v/>
      </c>
      <c r="U279">
        <f>HYPERLINK("https://klasma.github.io/Logging_2081/knärot/A 63118-2021.png", "A 63118-2021")</f>
        <v/>
      </c>
      <c r="V279">
        <f>HYPERLINK("https://klasma.github.io/Logging_2081/klagomål/A 63118-2021.docx", "A 63118-2021")</f>
        <v/>
      </c>
      <c r="W279">
        <f>HYPERLINK("https://klasma.github.io/Logging_2081/klagomålsmail/A 63118-2021.docx", "A 63118-2021")</f>
        <v/>
      </c>
      <c r="X279">
        <f>HYPERLINK("https://klasma.github.io/Logging_2081/tillsyn/A 63118-2021.docx", "A 63118-2021")</f>
        <v/>
      </c>
      <c r="Y279">
        <f>HYPERLINK("https://klasma.github.io/Logging_2081/tillsynsmail/A 63118-2021.docx", "A 63118-2021")</f>
        <v/>
      </c>
    </row>
    <row r="280" ht="15" customHeight="1">
      <c r="A280" t="inlineStr">
        <is>
          <t>A 63810-2021</t>
        </is>
      </c>
      <c r="B280" s="1" t="n">
        <v>44509</v>
      </c>
      <c r="C280" s="1" t="n">
        <v>45210</v>
      </c>
      <c r="D280" t="inlineStr">
        <is>
          <t>DALARNAS LÄN</t>
        </is>
      </c>
      <c r="E280" t="inlineStr">
        <is>
          <t>ORSA</t>
        </is>
      </c>
      <c r="G280" t="n">
        <v>18.4</v>
      </c>
      <c r="H280" t="n">
        <v>0</v>
      </c>
      <c r="I280" t="n">
        <v>0</v>
      </c>
      <c r="J280" t="n">
        <v>2</v>
      </c>
      <c r="K280" t="n">
        <v>0</v>
      </c>
      <c r="L280" t="n">
        <v>0</v>
      </c>
      <c r="M280" t="n">
        <v>0</v>
      </c>
      <c r="N280" t="n">
        <v>0</v>
      </c>
      <c r="O280" t="n">
        <v>2</v>
      </c>
      <c r="P280" t="n">
        <v>0</v>
      </c>
      <c r="Q280" t="n">
        <v>2</v>
      </c>
      <c r="R280" s="2" t="inlineStr">
        <is>
          <t>Garnlav
Violettgrå tagellav</t>
        </is>
      </c>
      <c r="S280">
        <f>HYPERLINK("https://klasma.github.io/Logging_2034/artfynd/A 63810-2021.xlsx", "A 63810-2021")</f>
        <v/>
      </c>
      <c r="T280">
        <f>HYPERLINK("https://klasma.github.io/Logging_2034/kartor/A 63810-2021.png", "A 63810-2021")</f>
        <v/>
      </c>
      <c r="V280">
        <f>HYPERLINK("https://klasma.github.io/Logging_2034/klagomål/A 63810-2021.docx", "A 63810-2021")</f>
        <v/>
      </c>
      <c r="W280">
        <f>HYPERLINK("https://klasma.github.io/Logging_2034/klagomålsmail/A 63810-2021.docx", "A 63810-2021")</f>
        <v/>
      </c>
      <c r="X280">
        <f>HYPERLINK("https://klasma.github.io/Logging_2034/tillsyn/A 63810-2021.docx", "A 63810-2021")</f>
        <v/>
      </c>
      <c r="Y280">
        <f>HYPERLINK("https://klasma.github.io/Logging_2034/tillsynsmail/A 63810-2021.docx", "A 63810-2021")</f>
        <v/>
      </c>
    </row>
    <row r="281" ht="15" customHeight="1">
      <c r="A281" t="inlineStr">
        <is>
          <t>A 67709-2021</t>
        </is>
      </c>
      <c r="B281" s="1" t="n">
        <v>44525</v>
      </c>
      <c r="C281" s="1" t="n">
        <v>45210</v>
      </c>
      <c r="D281" t="inlineStr">
        <is>
          <t>DALARNAS LÄN</t>
        </is>
      </c>
      <c r="E281" t="inlineStr">
        <is>
          <t>ÄLVDALEN</t>
        </is>
      </c>
      <c r="F281" t="inlineStr">
        <is>
          <t>Sveaskog</t>
        </is>
      </c>
      <c r="G281" t="n">
        <v>4.4</v>
      </c>
      <c r="H281" t="n">
        <v>0</v>
      </c>
      <c r="I281" t="n">
        <v>2</v>
      </c>
      <c r="J281" t="n">
        <v>0</v>
      </c>
      <c r="K281" t="n">
        <v>0</v>
      </c>
      <c r="L281" t="n">
        <v>0</v>
      </c>
      <c r="M281" t="n">
        <v>0</v>
      </c>
      <c r="N281" t="n">
        <v>0</v>
      </c>
      <c r="O281" t="n">
        <v>0</v>
      </c>
      <c r="P281" t="n">
        <v>0</v>
      </c>
      <c r="Q281" t="n">
        <v>2</v>
      </c>
      <c r="R281" s="2" t="inlineStr">
        <is>
          <t>Dropptaggsvamp
Skarp dropptaggsvamp</t>
        </is>
      </c>
      <c r="S281">
        <f>HYPERLINK("https://klasma.github.io/Logging_2039/artfynd/A 67709-2021.xlsx", "A 67709-2021")</f>
        <v/>
      </c>
      <c r="T281">
        <f>HYPERLINK("https://klasma.github.io/Logging_2039/kartor/A 67709-2021.png", "A 67709-2021")</f>
        <v/>
      </c>
      <c r="V281">
        <f>HYPERLINK("https://klasma.github.io/Logging_2039/klagomål/A 67709-2021.docx", "A 67709-2021")</f>
        <v/>
      </c>
      <c r="W281">
        <f>HYPERLINK("https://klasma.github.io/Logging_2039/klagomålsmail/A 67709-2021.docx", "A 67709-2021")</f>
        <v/>
      </c>
      <c r="X281">
        <f>HYPERLINK("https://klasma.github.io/Logging_2039/tillsyn/A 67709-2021.docx", "A 67709-2021")</f>
        <v/>
      </c>
      <c r="Y281">
        <f>HYPERLINK("https://klasma.github.io/Logging_2039/tillsynsmail/A 67709-2021.docx", "A 67709-2021")</f>
        <v/>
      </c>
    </row>
    <row r="282" ht="15" customHeight="1">
      <c r="A282" t="inlineStr">
        <is>
          <t>A 1688-2022</t>
        </is>
      </c>
      <c r="B282" s="1" t="n">
        <v>44574</v>
      </c>
      <c r="C282" s="1" t="n">
        <v>45210</v>
      </c>
      <c r="D282" t="inlineStr">
        <is>
          <t>DALARNAS LÄN</t>
        </is>
      </c>
      <c r="E282" t="inlineStr">
        <is>
          <t>AVESTA</t>
        </is>
      </c>
      <c r="G282" t="n">
        <v>10</v>
      </c>
      <c r="H282" t="n">
        <v>2</v>
      </c>
      <c r="I282" t="n">
        <v>0</v>
      </c>
      <c r="J282" t="n">
        <v>1</v>
      </c>
      <c r="K282" t="n">
        <v>1</v>
      </c>
      <c r="L282" t="n">
        <v>0</v>
      </c>
      <c r="M282" t="n">
        <v>0</v>
      </c>
      <c r="N282" t="n">
        <v>0</v>
      </c>
      <c r="O282" t="n">
        <v>2</v>
      </c>
      <c r="P282" t="n">
        <v>1</v>
      </c>
      <c r="Q282" t="n">
        <v>2</v>
      </c>
      <c r="R282" s="2" t="inlineStr">
        <is>
          <t>Knärot
Spillkråka</t>
        </is>
      </c>
      <c r="S282">
        <f>HYPERLINK("https://klasma.github.io/Logging_2084/artfynd/A 1688-2022.xlsx", "A 1688-2022")</f>
        <v/>
      </c>
      <c r="T282">
        <f>HYPERLINK("https://klasma.github.io/Logging_2084/kartor/A 1688-2022.png", "A 1688-2022")</f>
        <v/>
      </c>
      <c r="U282">
        <f>HYPERLINK("https://klasma.github.io/Logging_2084/knärot/A 1688-2022.png", "A 1688-2022")</f>
        <v/>
      </c>
      <c r="V282">
        <f>HYPERLINK("https://klasma.github.io/Logging_2084/klagomål/A 1688-2022.docx", "A 1688-2022")</f>
        <v/>
      </c>
      <c r="W282">
        <f>HYPERLINK("https://klasma.github.io/Logging_2084/klagomålsmail/A 1688-2022.docx", "A 1688-2022")</f>
        <v/>
      </c>
      <c r="X282">
        <f>HYPERLINK("https://klasma.github.io/Logging_2084/tillsyn/A 1688-2022.docx", "A 1688-2022")</f>
        <v/>
      </c>
      <c r="Y282">
        <f>HYPERLINK("https://klasma.github.io/Logging_2084/tillsynsmail/A 1688-2022.docx", "A 1688-2022")</f>
        <v/>
      </c>
    </row>
    <row r="283" ht="15" customHeight="1">
      <c r="A283" t="inlineStr">
        <is>
          <t>A 3152-2022</t>
        </is>
      </c>
      <c r="B283" s="1" t="n">
        <v>44582</v>
      </c>
      <c r="C283" s="1" t="n">
        <v>45210</v>
      </c>
      <c r="D283" t="inlineStr">
        <is>
          <t>DALARNAS LÄN</t>
        </is>
      </c>
      <c r="E283" t="inlineStr">
        <is>
          <t>HEDEMORA</t>
        </is>
      </c>
      <c r="G283" t="n">
        <v>8.800000000000001</v>
      </c>
      <c r="H283" t="n">
        <v>1</v>
      </c>
      <c r="I283" t="n">
        <v>0</v>
      </c>
      <c r="J283" t="n">
        <v>1</v>
      </c>
      <c r="K283" t="n">
        <v>1</v>
      </c>
      <c r="L283" t="n">
        <v>0</v>
      </c>
      <c r="M283" t="n">
        <v>0</v>
      </c>
      <c r="N283" t="n">
        <v>0</v>
      </c>
      <c r="O283" t="n">
        <v>2</v>
      </c>
      <c r="P283" t="n">
        <v>1</v>
      </c>
      <c r="Q283" t="n">
        <v>2</v>
      </c>
      <c r="R283" s="2" t="inlineStr">
        <is>
          <t>Knärot
Ullticka</t>
        </is>
      </c>
      <c r="S283">
        <f>HYPERLINK("https://klasma.github.io/Logging_2083/artfynd/A 3152-2022.xlsx", "A 3152-2022")</f>
        <v/>
      </c>
      <c r="T283">
        <f>HYPERLINK("https://klasma.github.io/Logging_2083/kartor/A 3152-2022.png", "A 3152-2022")</f>
        <v/>
      </c>
      <c r="U283">
        <f>HYPERLINK("https://klasma.github.io/Logging_2083/knärot/A 3152-2022.png", "A 3152-2022")</f>
        <v/>
      </c>
      <c r="V283">
        <f>HYPERLINK("https://klasma.github.io/Logging_2083/klagomål/A 3152-2022.docx", "A 3152-2022")</f>
        <v/>
      </c>
      <c r="W283">
        <f>HYPERLINK("https://klasma.github.io/Logging_2083/klagomålsmail/A 3152-2022.docx", "A 3152-2022")</f>
        <v/>
      </c>
      <c r="X283">
        <f>HYPERLINK("https://klasma.github.io/Logging_2083/tillsyn/A 3152-2022.docx", "A 3152-2022")</f>
        <v/>
      </c>
      <c r="Y283">
        <f>HYPERLINK("https://klasma.github.io/Logging_2083/tillsynsmail/A 3152-2022.docx", "A 3152-2022")</f>
        <v/>
      </c>
    </row>
    <row r="284" ht="15" customHeight="1">
      <c r="A284" t="inlineStr">
        <is>
          <t>A 4031-2022</t>
        </is>
      </c>
      <c r="B284" s="1" t="n">
        <v>44588</v>
      </c>
      <c r="C284" s="1" t="n">
        <v>45210</v>
      </c>
      <c r="D284" t="inlineStr">
        <is>
          <t>DALARNAS LÄN</t>
        </is>
      </c>
      <c r="E284" t="inlineStr">
        <is>
          <t>HEDEMORA</t>
        </is>
      </c>
      <c r="F284" t="inlineStr">
        <is>
          <t>Kyrkan</t>
        </is>
      </c>
      <c r="G284" t="n">
        <v>4.3</v>
      </c>
      <c r="H284" t="n">
        <v>1</v>
      </c>
      <c r="I284" t="n">
        <v>1</v>
      </c>
      <c r="J284" t="n">
        <v>0</v>
      </c>
      <c r="K284" t="n">
        <v>0</v>
      </c>
      <c r="L284" t="n">
        <v>0</v>
      </c>
      <c r="M284" t="n">
        <v>0</v>
      </c>
      <c r="N284" t="n">
        <v>0</v>
      </c>
      <c r="O284" t="n">
        <v>0</v>
      </c>
      <c r="P284" t="n">
        <v>0</v>
      </c>
      <c r="Q284" t="n">
        <v>2</v>
      </c>
      <c r="R284" s="2" t="inlineStr">
        <is>
          <t>Stubbspretmossa
Blåsippa</t>
        </is>
      </c>
      <c r="S284">
        <f>HYPERLINK("https://klasma.github.io/Logging_2083/artfynd/A 4031-2022.xlsx", "A 4031-2022")</f>
        <v/>
      </c>
      <c r="T284">
        <f>HYPERLINK("https://klasma.github.io/Logging_2083/kartor/A 4031-2022.png", "A 4031-2022")</f>
        <v/>
      </c>
      <c r="V284">
        <f>HYPERLINK("https://klasma.github.io/Logging_2083/klagomål/A 4031-2022.docx", "A 4031-2022")</f>
        <v/>
      </c>
      <c r="W284">
        <f>HYPERLINK("https://klasma.github.io/Logging_2083/klagomålsmail/A 4031-2022.docx", "A 4031-2022")</f>
        <v/>
      </c>
      <c r="X284">
        <f>HYPERLINK("https://klasma.github.io/Logging_2083/tillsyn/A 4031-2022.docx", "A 4031-2022")</f>
        <v/>
      </c>
      <c r="Y284">
        <f>HYPERLINK("https://klasma.github.io/Logging_2083/tillsynsmail/A 4031-2022.docx", "A 4031-2022")</f>
        <v/>
      </c>
    </row>
    <row r="285" ht="15" customHeight="1">
      <c r="A285" t="inlineStr">
        <is>
          <t>A 11710-2022</t>
        </is>
      </c>
      <c r="B285" s="1" t="n">
        <v>44634</v>
      </c>
      <c r="C285" s="1" t="n">
        <v>45210</v>
      </c>
      <c r="D285" t="inlineStr">
        <is>
          <t>DALARNAS LÄN</t>
        </is>
      </c>
      <c r="E285" t="inlineStr">
        <is>
          <t>MALUNG-SÄLEN</t>
        </is>
      </c>
      <c r="F285" t="inlineStr">
        <is>
          <t>Allmännings- och besparingsskogar</t>
        </is>
      </c>
      <c r="G285" t="n">
        <v>60</v>
      </c>
      <c r="H285" t="n">
        <v>0</v>
      </c>
      <c r="I285" t="n">
        <v>0</v>
      </c>
      <c r="J285" t="n">
        <v>1</v>
      </c>
      <c r="K285" t="n">
        <v>1</v>
      </c>
      <c r="L285" t="n">
        <v>0</v>
      </c>
      <c r="M285" t="n">
        <v>0</v>
      </c>
      <c r="N285" t="n">
        <v>0</v>
      </c>
      <c r="O285" t="n">
        <v>2</v>
      </c>
      <c r="P285" t="n">
        <v>1</v>
      </c>
      <c r="Q285" t="n">
        <v>2</v>
      </c>
      <c r="R285" s="2" t="inlineStr">
        <is>
          <t>Gräddporing
Violettgrå tagellav</t>
        </is>
      </c>
      <c r="S285">
        <f>HYPERLINK("https://klasma.github.io/Logging_2023/artfynd/A 11710-2022.xlsx", "A 11710-2022")</f>
        <v/>
      </c>
      <c r="T285">
        <f>HYPERLINK("https://klasma.github.io/Logging_2023/kartor/A 11710-2022.png", "A 11710-2022")</f>
        <v/>
      </c>
      <c r="V285">
        <f>HYPERLINK("https://klasma.github.io/Logging_2023/klagomål/A 11710-2022.docx", "A 11710-2022")</f>
        <v/>
      </c>
      <c r="W285">
        <f>HYPERLINK("https://klasma.github.io/Logging_2023/klagomålsmail/A 11710-2022.docx", "A 11710-2022")</f>
        <v/>
      </c>
      <c r="X285">
        <f>HYPERLINK("https://klasma.github.io/Logging_2023/tillsyn/A 11710-2022.docx", "A 11710-2022")</f>
        <v/>
      </c>
      <c r="Y285">
        <f>HYPERLINK("https://klasma.github.io/Logging_2023/tillsynsmail/A 11710-2022.docx", "A 11710-2022")</f>
        <v/>
      </c>
    </row>
    <row r="286" ht="15" customHeight="1">
      <c r="A286" t="inlineStr">
        <is>
          <t>A 12636-2022</t>
        </is>
      </c>
      <c r="B286" s="1" t="n">
        <v>44641</v>
      </c>
      <c r="C286" s="1" t="n">
        <v>45210</v>
      </c>
      <c r="D286" t="inlineStr">
        <is>
          <t>DALARNAS LÄN</t>
        </is>
      </c>
      <c r="E286" t="inlineStr">
        <is>
          <t>MALUNG-SÄLEN</t>
        </is>
      </c>
      <c r="G286" t="n">
        <v>6.6</v>
      </c>
      <c r="H286" t="n">
        <v>0</v>
      </c>
      <c r="I286" t="n">
        <v>0</v>
      </c>
      <c r="J286" t="n">
        <v>2</v>
      </c>
      <c r="K286" t="n">
        <v>0</v>
      </c>
      <c r="L286" t="n">
        <v>0</v>
      </c>
      <c r="M286" t="n">
        <v>0</v>
      </c>
      <c r="N286" t="n">
        <v>0</v>
      </c>
      <c r="O286" t="n">
        <v>2</v>
      </c>
      <c r="P286" t="n">
        <v>0</v>
      </c>
      <c r="Q286" t="n">
        <v>2</v>
      </c>
      <c r="R286" s="2" t="inlineStr">
        <is>
          <t>Garnlav
Violettgrå tagellav</t>
        </is>
      </c>
      <c r="S286">
        <f>HYPERLINK("https://klasma.github.io/Logging_2023/artfynd/A 12636-2022.xlsx", "A 12636-2022")</f>
        <v/>
      </c>
      <c r="T286">
        <f>HYPERLINK("https://klasma.github.io/Logging_2023/kartor/A 12636-2022.png", "A 12636-2022")</f>
        <v/>
      </c>
      <c r="V286">
        <f>HYPERLINK("https://klasma.github.io/Logging_2023/klagomål/A 12636-2022.docx", "A 12636-2022")</f>
        <v/>
      </c>
      <c r="W286">
        <f>HYPERLINK("https://klasma.github.io/Logging_2023/klagomålsmail/A 12636-2022.docx", "A 12636-2022")</f>
        <v/>
      </c>
      <c r="X286">
        <f>HYPERLINK("https://klasma.github.io/Logging_2023/tillsyn/A 12636-2022.docx", "A 12636-2022")</f>
        <v/>
      </c>
      <c r="Y286">
        <f>HYPERLINK("https://klasma.github.io/Logging_2023/tillsynsmail/A 12636-2022.docx", "A 12636-2022")</f>
        <v/>
      </c>
    </row>
    <row r="287" ht="15" customHeight="1">
      <c r="A287" t="inlineStr">
        <is>
          <t>A 20914-2022</t>
        </is>
      </c>
      <c r="B287" s="1" t="n">
        <v>44701</v>
      </c>
      <c r="C287" s="1" t="n">
        <v>45210</v>
      </c>
      <c r="D287" t="inlineStr">
        <is>
          <t>DALARNAS LÄN</t>
        </is>
      </c>
      <c r="E287" t="inlineStr">
        <is>
          <t>ORSA</t>
        </is>
      </c>
      <c r="F287" t="inlineStr">
        <is>
          <t>Allmännings- och besparingsskogar</t>
        </is>
      </c>
      <c r="G287" t="n">
        <v>32.6</v>
      </c>
      <c r="H287" t="n">
        <v>1</v>
      </c>
      <c r="I287" t="n">
        <v>1</v>
      </c>
      <c r="J287" t="n">
        <v>1</v>
      </c>
      <c r="K287" t="n">
        <v>0</v>
      </c>
      <c r="L287" t="n">
        <v>0</v>
      </c>
      <c r="M287" t="n">
        <v>0</v>
      </c>
      <c r="N287" t="n">
        <v>0</v>
      </c>
      <c r="O287" t="n">
        <v>1</v>
      </c>
      <c r="P287" t="n">
        <v>0</v>
      </c>
      <c r="Q287" t="n">
        <v>2</v>
      </c>
      <c r="R287" s="2" t="inlineStr">
        <is>
          <t>Kungsörn
Vågbandad barkbock</t>
        </is>
      </c>
      <c r="S287">
        <f>HYPERLINK("https://klasma.github.io/Logging_2034/artfynd/A 20914-2022.xlsx", "A 20914-2022")</f>
        <v/>
      </c>
      <c r="T287">
        <f>HYPERLINK("https://klasma.github.io/Logging_2034/kartor/A 20914-2022.png", "A 20914-2022")</f>
        <v/>
      </c>
      <c r="V287">
        <f>HYPERLINK("https://klasma.github.io/Logging_2034/klagomål/A 20914-2022.docx", "A 20914-2022")</f>
        <v/>
      </c>
      <c r="W287">
        <f>HYPERLINK("https://klasma.github.io/Logging_2034/klagomålsmail/A 20914-2022.docx", "A 20914-2022")</f>
        <v/>
      </c>
      <c r="X287">
        <f>HYPERLINK("https://klasma.github.io/Logging_2034/tillsyn/A 20914-2022.docx", "A 20914-2022")</f>
        <v/>
      </c>
      <c r="Y287">
        <f>HYPERLINK("https://klasma.github.io/Logging_2034/tillsynsmail/A 20914-2022.docx", "A 20914-2022")</f>
        <v/>
      </c>
    </row>
    <row r="288" ht="15" customHeight="1">
      <c r="A288" t="inlineStr">
        <is>
          <t>A 21629-2022</t>
        </is>
      </c>
      <c r="B288" s="1" t="n">
        <v>44706</v>
      </c>
      <c r="C288" s="1" t="n">
        <v>45210</v>
      </c>
      <c r="D288" t="inlineStr">
        <is>
          <t>DALARNAS LÄN</t>
        </is>
      </c>
      <c r="E288" t="inlineStr">
        <is>
          <t>ÄLVDALEN</t>
        </is>
      </c>
      <c r="F288" t="inlineStr">
        <is>
          <t>Övriga statliga verk och myndigheter</t>
        </is>
      </c>
      <c r="G288" t="n">
        <v>19.2</v>
      </c>
      <c r="H288" t="n">
        <v>0</v>
      </c>
      <c r="I288" t="n">
        <v>1</v>
      </c>
      <c r="J288" t="n">
        <v>1</v>
      </c>
      <c r="K288" t="n">
        <v>0</v>
      </c>
      <c r="L288" t="n">
        <v>0</v>
      </c>
      <c r="M288" t="n">
        <v>0</v>
      </c>
      <c r="N288" t="n">
        <v>0</v>
      </c>
      <c r="O288" t="n">
        <v>1</v>
      </c>
      <c r="P288" t="n">
        <v>0</v>
      </c>
      <c r="Q288" t="n">
        <v>2</v>
      </c>
      <c r="R288" s="2" t="inlineStr">
        <is>
          <t>Vitgrynig nållav
Kransrams</t>
        </is>
      </c>
      <c r="S288">
        <f>HYPERLINK("https://klasma.github.io/Logging_2039/artfynd/A 21629-2022.xlsx", "A 21629-2022")</f>
        <v/>
      </c>
      <c r="T288">
        <f>HYPERLINK("https://klasma.github.io/Logging_2039/kartor/A 21629-2022.png", "A 21629-2022")</f>
        <v/>
      </c>
      <c r="V288">
        <f>HYPERLINK("https://klasma.github.io/Logging_2039/klagomål/A 21629-2022.docx", "A 21629-2022")</f>
        <v/>
      </c>
      <c r="W288">
        <f>HYPERLINK("https://klasma.github.io/Logging_2039/klagomålsmail/A 21629-2022.docx", "A 21629-2022")</f>
        <v/>
      </c>
      <c r="X288">
        <f>HYPERLINK("https://klasma.github.io/Logging_2039/tillsyn/A 21629-2022.docx", "A 21629-2022")</f>
        <v/>
      </c>
      <c r="Y288">
        <f>HYPERLINK("https://klasma.github.io/Logging_2039/tillsynsmail/A 21629-2022.docx", "A 21629-2022")</f>
        <v/>
      </c>
    </row>
    <row r="289" ht="15" customHeight="1">
      <c r="A289" t="inlineStr">
        <is>
          <t>A 27212-2022</t>
        </is>
      </c>
      <c r="B289" s="1" t="n">
        <v>44741</v>
      </c>
      <c r="C289" s="1" t="n">
        <v>45210</v>
      </c>
      <c r="D289" t="inlineStr">
        <is>
          <t>DALARNAS LÄN</t>
        </is>
      </c>
      <c r="E289" t="inlineStr">
        <is>
          <t>MALUNG-SÄLEN</t>
        </is>
      </c>
      <c r="F289" t="inlineStr">
        <is>
          <t>Bergvik skog öst AB</t>
        </is>
      </c>
      <c r="G289" t="n">
        <v>1.5</v>
      </c>
      <c r="H289" t="n">
        <v>0</v>
      </c>
      <c r="I289" t="n">
        <v>1</v>
      </c>
      <c r="J289" t="n">
        <v>0</v>
      </c>
      <c r="K289" t="n">
        <v>1</v>
      </c>
      <c r="L289" t="n">
        <v>0</v>
      </c>
      <c r="M289" t="n">
        <v>0</v>
      </c>
      <c r="N289" t="n">
        <v>0</v>
      </c>
      <c r="O289" t="n">
        <v>1</v>
      </c>
      <c r="P289" t="n">
        <v>1</v>
      </c>
      <c r="Q289" t="n">
        <v>2</v>
      </c>
      <c r="R289" s="2" t="inlineStr">
        <is>
          <t>Norsk näverlav
Skuggblåslav</t>
        </is>
      </c>
      <c r="S289">
        <f>HYPERLINK("https://klasma.github.io/Logging_2023/artfynd/A 27212-2022.xlsx", "A 27212-2022")</f>
        <v/>
      </c>
      <c r="T289">
        <f>HYPERLINK("https://klasma.github.io/Logging_2023/kartor/A 27212-2022.png", "A 27212-2022")</f>
        <v/>
      </c>
      <c r="V289">
        <f>HYPERLINK("https://klasma.github.io/Logging_2023/klagomål/A 27212-2022.docx", "A 27212-2022")</f>
        <v/>
      </c>
      <c r="W289">
        <f>HYPERLINK("https://klasma.github.io/Logging_2023/klagomålsmail/A 27212-2022.docx", "A 27212-2022")</f>
        <v/>
      </c>
      <c r="X289">
        <f>HYPERLINK("https://klasma.github.io/Logging_2023/tillsyn/A 27212-2022.docx", "A 27212-2022")</f>
        <v/>
      </c>
      <c r="Y289">
        <f>HYPERLINK("https://klasma.github.io/Logging_2023/tillsynsmail/A 27212-2022.docx", "A 27212-2022")</f>
        <v/>
      </c>
    </row>
    <row r="290" ht="15" customHeight="1">
      <c r="A290" t="inlineStr">
        <is>
          <t>A 27374-2022</t>
        </is>
      </c>
      <c r="B290" s="1" t="n">
        <v>44742</v>
      </c>
      <c r="C290" s="1" t="n">
        <v>45210</v>
      </c>
      <c r="D290" t="inlineStr">
        <is>
          <t>DALARNAS LÄN</t>
        </is>
      </c>
      <c r="E290" t="inlineStr">
        <is>
          <t>SÄTER</t>
        </is>
      </c>
      <c r="F290" t="inlineStr">
        <is>
          <t>Kommuner</t>
        </is>
      </c>
      <c r="G290" t="n">
        <v>4.3</v>
      </c>
      <c r="H290" t="n">
        <v>1</v>
      </c>
      <c r="I290" t="n">
        <v>0</v>
      </c>
      <c r="J290" t="n">
        <v>1</v>
      </c>
      <c r="K290" t="n">
        <v>1</v>
      </c>
      <c r="L290" t="n">
        <v>0</v>
      </c>
      <c r="M290" t="n">
        <v>0</v>
      </c>
      <c r="N290" t="n">
        <v>0</v>
      </c>
      <c r="O290" t="n">
        <v>2</v>
      </c>
      <c r="P290" t="n">
        <v>1</v>
      </c>
      <c r="Q290" t="n">
        <v>2</v>
      </c>
      <c r="R290" s="2" t="inlineStr">
        <is>
          <t>Knärot
Garnlav</t>
        </is>
      </c>
      <c r="S290">
        <f>HYPERLINK("https://klasma.github.io/Logging_2082/artfynd/A 27374-2022.xlsx", "A 27374-2022")</f>
        <v/>
      </c>
      <c r="T290">
        <f>HYPERLINK("https://klasma.github.io/Logging_2082/kartor/A 27374-2022.png", "A 27374-2022")</f>
        <v/>
      </c>
      <c r="U290">
        <f>HYPERLINK("https://klasma.github.io/Logging_2082/knärot/A 27374-2022.png", "A 27374-2022")</f>
        <v/>
      </c>
      <c r="V290">
        <f>HYPERLINK("https://klasma.github.io/Logging_2082/klagomål/A 27374-2022.docx", "A 27374-2022")</f>
        <v/>
      </c>
      <c r="W290">
        <f>HYPERLINK("https://klasma.github.io/Logging_2082/klagomålsmail/A 27374-2022.docx", "A 27374-2022")</f>
        <v/>
      </c>
      <c r="X290">
        <f>HYPERLINK("https://klasma.github.io/Logging_2082/tillsyn/A 27374-2022.docx", "A 27374-2022")</f>
        <v/>
      </c>
      <c r="Y290">
        <f>HYPERLINK("https://klasma.github.io/Logging_2082/tillsynsmail/A 27374-2022.docx", "A 27374-2022")</f>
        <v/>
      </c>
    </row>
    <row r="291" ht="15" customHeight="1">
      <c r="A291" t="inlineStr">
        <is>
          <t>A 31017-2022</t>
        </is>
      </c>
      <c r="B291" s="1" t="n">
        <v>44768</v>
      </c>
      <c r="C291" s="1" t="n">
        <v>45210</v>
      </c>
      <c r="D291" t="inlineStr">
        <is>
          <t>DALARNAS LÄN</t>
        </is>
      </c>
      <c r="E291" t="inlineStr">
        <is>
          <t>AVESTA</t>
        </is>
      </c>
      <c r="F291" t="inlineStr">
        <is>
          <t>Sveaskog</t>
        </is>
      </c>
      <c r="G291" t="n">
        <v>6.8</v>
      </c>
      <c r="H291" t="n">
        <v>0</v>
      </c>
      <c r="I291" t="n">
        <v>2</v>
      </c>
      <c r="J291" t="n">
        <v>0</v>
      </c>
      <c r="K291" t="n">
        <v>0</v>
      </c>
      <c r="L291" t="n">
        <v>0</v>
      </c>
      <c r="M291" t="n">
        <v>0</v>
      </c>
      <c r="N291" t="n">
        <v>0</v>
      </c>
      <c r="O291" t="n">
        <v>0</v>
      </c>
      <c r="P291" t="n">
        <v>0</v>
      </c>
      <c r="Q291" t="n">
        <v>2</v>
      </c>
      <c r="R291" s="2" t="inlineStr">
        <is>
          <t>Fjällig taggsvamp s.str.
Mönjevaxskivling</t>
        </is>
      </c>
      <c r="S291">
        <f>HYPERLINK("https://klasma.github.io/Logging_2084/artfynd/A 31017-2022.xlsx", "A 31017-2022")</f>
        <v/>
      </c>
      <c r="T291">
        <f>HYPERLINK("https://klasma.github.io/Logging_2084/kartor/A 31017-2022.png", "A 31017-2022")</f>
        <v/>
      </c>
      <c r="V291">
        <f>HYPERLINK("https://klasma.github.io/Logging_2084/klagomål/A 31017-2022.docx", "A 31017-2022")</f>
        <v/>
      </c>
      <c r="W291">
        <f>HYPERLINK("https://klasma.github.io/Logging_2084/klagomålsmail/A 31017-2022.docx", "A 31017-2022")</f>
        <v/>
      </c>
      <c r="X291">
        <f>HYPERLINK("https://klasma.github.io/Logging_2084/tillsyn/A 31017-2022.docx", "A 31017-2022")</f>
        <v/>
      </c>
      <c r="Y291">
        <f>HYPERLINK("https://klasma.github.io/Logging_2084/tillsynsmail/A 31017-2022.docx", "A 31017-2022")</f>
        <v/>
      </c>
    </row>
    <row r="292" ht="15" customHeight="1">
      <c r="A292" t="inlineStr">
        <is>
          <t>A 42558-2022</t>
        </is>
      </c>
      <c r="B292" s="1" t="n">
        <v>44831</v>
      </c>
      <c r="C292" s="1" t="n">
        <v>45210</v>
      </c>
      <c r="D292" t="inlineStr">
        <is>
          <t>DALARNAS LÄN</t>
        </is>
      </c>
      <c r="E292" t="inlineStr">
        <is>
          <t>LUDVIKA</t>
        </is>
      </c>
      <c r="F292" t="inlineStr">
        <is>
          <t>Naturvårdsverket</t>
        </is>
      </c>
      <c r="G292" t="n">
        <v>4.9</v>
      </c>
      <c r="H292" t="n">
        <v>1</v>
      </c>
      <c r="I292" t="n">
        <v>0</v>
      </c>
      <c r="J292" t="n">
        <v>0</v>
      </c>
      <c r="K292" t="n">
        <v>1</v>
      </c>
      <c r="L292" t="n">
        <v>0</v>
      </c>
      <c r="M292" t="n">
        <v>0</v>
      </c>
      <c r="N292" t="n">
        <v>0</v>
      </c>
      <c r="O292" t="n">
        <v>1</v>
      </c>
      <c r="P292" t="n">
        <v>1</v>
      </c>
      <c r="Q292" t="n">
        <v>2</v>
      </c>
      <c r="R292" s="2" t="inlineStr">
        <is>
          <t>Gräddporing
Lopplummer</t>
        </is>
      </c>
      <c r="S292">
        <f>HYPERLINK("https://klasma.github.io/Logging_2085/artfynd/A 42558-2022.xlsx", "A 42558-2022")</f>
        <v/>
      </c>
      <c r="T292">
        <f>HYPERLINK("https://klasma.github.io/Logging_2085/kartor/A 42558-2022.png", "A 42558-2022")</f>
        <v/>
      </c>
      <c r="V292">
        <f>HYPERLINK("https://klasma.github.io/Logging_2085/klagomål/A 42558-2022.docx", "A 42558-2022")</f>
        <v/>
      </c>
      <c r="W292">
        <f>HYPERLINK("https://klasma.github.io/Logging_2085/klagomålsmail/A 42558-2022.docx", "A 42558-2022")</f>
        <v/>
      </c>
      <c r="X292">
        <f>HYPERLINK("https://klasma.github.io/Logging_2085/tillsyn/A 42558-2022.docx", "A 42558-2022")</f>
        <v/>
      </c>
      <c r="Y292">
        <f>HYPERLINK("https://klasma.github.io/Logging_2085/tillsynsmail/A 42558-2022.docx", "A 42558-2022")</f>
        <v/>
      </c>
    </row>
    <row r="293" ht="15" customHeight="1">
      <c r="A293" t="inlineStr">
        <is>
          <t>A 48343-2022</t>
        </is>
      </c>
      <c r="B293" s="1" t="n">
        <v>44858</v>
      </c>
      <c r="C293" s="1" t="n">
        <v>45210</v>
      </c>
      <c r="D293" t="inlineStr">
        <is>
          <t>DALARNAS LÄN</t>
        </is>
      </c>
      <c r="E293" t="inlineStr">
        <is>
          <t>ORSA</t>
        </is>
      </c>
      <c r="G293" t="n">
        <v>1.6</v>
      </c>
      <c r="H293" t="n">
        <v>2</v>
      </c>
      <c r="I293" t="n">
        <v>0</v>
      </c>
      <c r="J293" t="n">
        <v>1</v>
      </c>
      <c r="K293" t="n">
        <v>0</v>
      </c>
      <c r="L293" t="n">
        <v>0</v>
      </c>
      <c r="M293" t="n">
        <v>0</v>
      </c>
      <c r="N293" t="n">
        <v>0</v>
      </c>
      <c r="O293" t="n">
        <v>1</v>
      </c>
      <c r="P293" t="n">
        <v>0</v>
      </c>
      <c r="Q293" t="n">
        <v>2</v>
      </c>
      <c r="R293" s="2" t="inlineStr">
        <is>
          <t>Nordfladdermus
Vattenfladdermus</t>
        </is>
      </c>
      <c r="S293">
        <f>HYPERLINK("https://klasma.github.io/Logging_2034/artfynd/A 48343-2022.xlsx", "A 48343-2022")</f>
        <v/>
      </c>
      <c r="T293">
        <f>HYPERLINK("https://klasma.github.io/Logging_2034/kartor/A 48343-2022.png", "A 48343-2022")</f>
        <v/>
      </c>
      <c r="V293">
        <f>HYPERLINK("https://klasma.github.io/Logging_2034/klagomål/A 48343-2022.docx", "A 48343-2022")</f>
        <v/>
      </c>
      <c r="W293">
        <f>HYPERLINK("https://klasma.github.io/Logging_2034/klagomålsmail/A 48343-2022.docx", "A 48343-2022")</f>
        <v/>
      </c>
      <c r="X293">
        <f>HYPERLINK("https://klasma.github.io/Logging_2034/tillsyn/A 48343-2022.docx", "A 48343-2022")</f>
        <v/>
      </c>
      <c r="Y293">
        <f>HYPERLINK("https://klasma.github.io/Logging_2034/tillsynsmail/A 48343-2022.docx", "A 48343-2022")</f>
        <v/>
      </c>
    </row>
    <row r="294" ht="15" customHeight="1">
      <c r="A294" t="inlineStr">
        <is>
          <t>A 50242-2022</t>
        </is>
      </c>
      <c r="B294" s="1" t="n">
        <v>44865</v>
      </c>
      <c r="C294" s="1" t="n">
        <v>45210</v>
      </c>
      <c r="D294" t="inlineStr">
        <is>
          <t>DALARNAS LÄN</t>
        </is>
      </c>
      <c r="E294" t="inlineStr">
        <is>
          <t>ÄLVDALEN</t>
        </is>
      </c>
      <c r="F294" t="inlineStr">
        <is>
          <t>Sveaskog</t>
        </is>
      </c>
      <c r="G294" t="n">
        <v>10.7</v>
      </c>
      <c r="H294" t="n">
        <v>0</v>
      </c>
      <c r="I294" t="n">
        <v>1</v>
      </c>
      <c r="J294" t="n">
        <v>1</v>
      </c>
      <c r="K294" t="n">
        <v>0</v>
      </c>
      <c r="L294" t="n">
        <v>0</v>
      </c>
      <c r="M294" t="n">
        <v>0</v>
      </c>
      <c r="N294" t="n">
        <v>0</v>
      </c>
      <c r="O294" t="n">
        <v>1</v>
      </c>
      <c r="P294" t="n">
        <v>0</v>
      </c>
      <c r="Q294" t="n">
        <v>2</v>
      </c>
      <c r="R294" s="2" t="inlineStr">
        <is>
          <t>Kolflarnlav
Dropptaggsvamp</t>
        </is>
      </c>
      <c r="S294">
        <f>HYPERLINK("https://klasma.github.io/Logging_2039/artfynd/A 50242-2022.xlsx", "A 50242-2022")</f>
        <v/>
      </c>
      <c r="T294">
        <f>HYPERLINK("https://klasma.github.io/Logging_2039/kartor/A 50242-2022.png", "A 50242-2022")</f>
        <v/>
      </c>
      <c r="V294">
        <f>HYPERLINK("https://klasma.github.io/Logging_2039/klagomål/A 50242-2022.docx", "A 50242-2022")</f>
        <v/>
      </c>
      <c r="W294">
        <f>HYPERLINK("https://klasma.github.io/Logging_2039/klagomålsmail/A 50242-2022.docx", "A 50242-2022")</f>
        <v/>
      </c>
      <c r="X294">
        <f>HYPERLINK("https://klasma.github.io/Logging_2039/tillsyn/A 50242-2022.docx", "A 50242-2022")</f>
        <v/>
      </c>
      <c r="Y294">
        <f>HYPERLINK("https://klasma.github.io/Logging_2039/tillsynsmail/A 50242-2022.docx", "A 50242-2022")</f>
        <v/>
      </c>
    </row>
    <row r="295" ht="15" customHeight="1">
      <c r="A295" t="inlineStr">
        <is>
          <t>A 52490-2022</t>
        </is>
      </c>
      <c r="B295" s="1" t="n">
        <v>44874</v>
      </c>
      <c r="C295" s="1" t="n">
        <v>45210</v>
      </c>
      <c r="D295" t="inlineStr">
        <is>
          <t>DALARNAS LÄN</t>
        </is>
      </c>
      <c r="E295" t="inlineStr">
        <is>
          <t>ÄLVDALEN</t>
        </is>
      </c>
      <c r="G295" t="n">
        <v>4.3</v>
      </c>
      <c r="H295" t="n">
        <v>0</v>
      </c>
      <c r="I295" t="n">
        <v>1</v>
      </c>
      <c r="J295" t="n">
        <v>1</v>
      </c>
      <c r="K295" t="n">
        <v>0</v>
      </c>
      <c r="L295" t="n">
        <v>0</v>
      </c>
      <c r="M295" t="n">
        <v>0</v>
      </c>
      <c r="N295" t="n">
        <v>0</v>
      </c>
      <c r="O295" t="n">
        <v>1</v>
      </c>
      <c r="P295" t="n">
        <v>0</v>
      </c>
      <c r="Q295" t="n">
        <v>2</v>
      </c>
      <c r="R295" s="2" t="inlineStr">
        <is>
          <t>Garnlav
Dropptaggsvamp</t>
        </is>
      </c>
      <c r="S295">
        <f>HYPERLINK("https://klasma.github.io/Logging_2039/artfynd/A 52490-2022.xlsx", "A 52490-2022")</f>
        <v/>
      </c>
      <c r="T295">
        <f>HYPERLINK("https://klasma.github.io/Logging_2039/kartor/A 52490-2022.png", "A 52490-2022")</f>
        <v/>
      </c>
      <c r="V295">
        <f>HYPERLINK("https://klasma.github.io/Logging_2039/klagomål/A 52490-2022.docx", "A 52490-2022")</f>
        <v/>
      </c>
      <c r="W295">
        <f>HYPERLINK("https://klasma.github.io/Logging_2039/klagomålsmail/A 52490-2022.docx", "A 52490-2022")</f>
        <v/>
      </c>
      <c r="X295">
        <f>HYPERLINK("https://klasma.github.io/Logging_2039/tillsyn/A 52490-2022.docx", "A 52490-2022")</f>
        <v/>
      </c>
      <c r="Y295">
        <f>HYPERLINK("https://klasma.github.io/Logging_2039/tillsynsmail/A 52490-2022.docx", "A 52490-2022")</f>
        <v/>
      </c>
    </row>
    <row r="296" ht="15" customHeight="1">
      <c r="A296" t="inlineStr">
        <is>
          <t>A 52510-2022</t>
        </is>
      </c>
      <c r="B296" s="1" t="n">
        <v>44874</v>
      </c>
      <c r="C296" s="1" t="n">
        <v>45210</v>
      </c>
      <c r="D296" t="inlineStr">
        <is>
          <t>DALARNAS LÄN</t>
        </is>
      </c>
      <c r="E296" t="inlineStr">
        <is>
          <t>BORLÄNGE</t>
        </is>
      </c>
      <c r="G296" t="n">
        <v>1</v>
      </c>
      <c r="H296" t="n">
        <v>0</v>
      </c>
      <c r="I296" t="n">
        <v>1</v>
      </c>
      <c r="J296" t="n">
        <v>1</v>
      </c>
      <c r="K296" t="n">
        <v>0</v>
      </c>
      <c r="L296" t="n">
        <v>0</v>
      </c>
      <c r="M296" t="n">
        <v>0</v>
      </c>
      <c r="N296" t="n">
        <v>0</v>
      </c>
      <c r="O296" t="n">
        <v>1</v>
      </c>
      <c r="P296" t="n">
        <v>0</v>
      </c>
      <c r="Q296" t="n">
        <v>2</v>
      </c>
      <c r="R296" s="2" t="inlineStr">
        <is>
          <t>Gränsticka
Vedticka</t>
        </is>
      </c>
      <c r="S296">
        <f>HYPERLINK("https://klasma.github.io/Logging_2081/artfynd/A 52510-2022.xlsx", "A 52510-2022")</f>
        <v/>
      </c>
      <c r="T296">
        <f>HYPERLINK("https://klasma.github.io/Logging_2081/kartor/A 52510-2022.png", "A 52510-2022")</f>
        <v/>
      </c>
      <c r="V296">
        <f>HYPERLINK("https://klasma.github.io/Logging_2081/klagomål/A 52510-2022.docx", "A 52510-2022")</f>
        <v/>
      </c>
      <c r="W296">
        <f>HYPERLINK("https://klasma.github.io/Logging_2081/klagomålsmail/A 52510-2022.docx", "A 52510-2022")</f>
        <v/>
      </c>
      <c r="X296">
        <f>HYPERLINK("https://klasma.github.io/Logging_2081/tillsyn/A 52510-2022.docx", "A 52510-2022")</f>
        <v/>
      </c>
      <c r="Y296">
        <f>HYPERLINK("https://klasma.github.io/Logging_2081/tillsynsmail/A 52510-2022.docx", "A 52510-2022")</f>
        <v/>
      </c>
    </row>
    <row r="297" ht="15" customHeight="1">
      <c r="A297" t="inlineStr">
        <is>
          <t>A 53629-2022</t>
        </is>
      </c>
      <c r="B297" s="1" t="n">
        <v>44879</v>
      </c>
      <c r="C297" s="1" t="n">
        <v>45210</v>
      </c>
      <c r="D297" t="inlineStr">
        <is>
          <t>DALARNAS LÄN</t>
        </is>
      </c>
      <c r="E297" t="inlineStr">
        <is>
          <t>ORSA</t>
        </is>
      </c>
      <c r="G297" t="n">
        <v>8.199999999999999</v>
      </c>
      <c r="H297" t="n">
        <v>2</v>
      </c>
      <c r="I297" t="n">
        <v>0</v>
      </c>
      <c r="J297" t="n">
        <v>0</v>
      </c>
      <c r="K297" t="n">
        <v>0</v>
      </c>
      <c r="L297" t="n">
        <v>0</v>
      </c>
      <c r="M297" t="n">
        <v>0</v>
      </c>
      <c r="N297" t="n">
        <v>0</v>
      </c>
      <c r="O297" t="n">
        <v>0</v>
      </c>
      <c r="P297" t="n">
        <v>0</v>
      </c>
      <c r="Q297" t="n">
        <v>2</v>
      </c>
      <c r="R297" s="2" t="inlineStr">
        <is>
          <t>Större vattensalamander
Mindre vattensalamander</t>
        </is>
      </c>
      <c r="S297">
        <f>HYPERLINK("https://klasma.github.io/Logging_2034/artfynd/A 53629-2022.xlsx", "A 53629-2022")</f>
        <v/>
      </c>
      <c r="T297">
        <f>HYPERLINK("https://klasma.github.io/Logging_2034/kartor/A 53629-2022.png", "A 53629-2022")</f>
        <v/>
      </c>
      <c r="V297">
        <f>HYPERLINK("https://klasma.github.io/Logging_2034/klagomål/A 53629-2022.docx", "A 53629-2022")</f>
        <v/>
      </c>
      <c r="W297">
        <f>HYPERLINK("https://klasma.github.io/Logging_2034/klagomålsmail/A 53629-2022.docx", "A 53629-2022")</f>
        <v/>
      </c>
      <c r="X297">
        <f>HYPERLINK("https://klasma.github.io/Logging_2034/tillsyn/A 53629-2022.docx", "A 53629-2022")</f>
        <v/>
      </c>
      <c r="Y297">
        <f>HYPERLINK("https://klasma.github.io/Logging_2034/tillsynsmail/A 53629-2022.docx", "A 53629-2022")</f>
        <v/>
      </c>
    </row>
    <row r="298" ht="15" customHeight="1">
      <c r="A298" t="inlineStr">
        <is>
          <t>A 55664-2022</t>
        </is>
      </c>
      <c r="B298" s="1" t="n">
        <v>44888</v>
      </c>
      <c r="C298" s="1" t="n">
        <v>45210</v>
      </c>
      <c r="D298" t="inlineStr">
        <is>
          <t>DALARNAS LÄN</t>
        </is>
      </c>
      <c r="E298" t="inlineStr">
        <is>
          <t>MALUNG-SÄLEN</t>
        </is>
      </c>
      <c r="F298" t="inlineStr">
        <is>
          <t>Allmännings- och besparingsskogar</t>
        </is>
      </c>
      <c r="G298" t="n">
        <v>12.7</v>
      </c>
      <c r="H298" t="n">
        <v>0</v>
      </c>
      <c r="I298" t="n">
        <v>0</v>
      </c>
      <c r="J298" t="n">
        <v>2</v>
      </c>
      <c r="K298" t="n">
        <v>0</v>
      </c>
      <c r="L298" t="n">
        <v>0</v>
      </c>
      <c r="M298" t="n">
        <v>0</v>
      </c>
      <c r="N298" t="n">
        <v>0</v>
      </c>
      <c r="O298" t="n">
        <v>2</v>
      </c>
      <c r="P298" t="n">
        <v>0</v>
      </c>
      <c r="Q298" t="n">
        <v>2</v>
      </c>
      <c r="R298" s="2" t="inlineStr">
        <is>
          <t>Dvärgbägarlav
Mörk kolflarnlav</t>
        </is>
      </c>
      <c r="S298">
        <f>HYPERLINK("https://klasma.github.io/Logging_2023/artfynd/A 55664-2022.xlsx", "A 55664-2022")</f>
        <v/>
      </c>
      <c r="T298">
        <f>HYPERLINK("https://klasma.github.io/Logging_2023/kartor/A 55664-2022.png", "A 55664-2022")</f>
        <v/>
      </c>
      <c r="V298">
        <f>HYPERLINK("https://klasma.github.io/Logging_2023/klagomål/A 55664-2022.docx", "A 55664-2022")</f>
        <v/>
      </c>
      <c r="W298">
        <f>HYPERLINK("https://klasma.github.io/Logging_2023/klagomålsmail/A 55664-2022.docx", "A 55664-2022")</f>
        <v/>
      </c>
      <c r="X298">
        <f>HYPERLINK("https://klasma.github.io/Logging_2023/tillsyn/A 55664-2022.docx", "A 55664-2022")</f>
        <v/>
      </c>
      <c r="Y298">
        <f>HYPERLINK("https://klasma.github.io/Logging_2023/tillsynsmail/A 55664-2022.docx", "A 55664-2022")</f>
        <v/>
      </c>
    </row>
    <row r="299" ht="15" customHeight="1">
      <c r="A299" t="inlineStr">
        <is>
          <t>A 59665-2022</t>
        </is>
      </c>
      <c r="B299" s="1" t="n">
        <v>44908</v>
      </c>
      <c r="C299" s="1" t="n">
        <v>45210</v>
      </c>
      <c r="D299" t="inlineStr">
        <is>
          <t>DALARNAS LÄN</t>
        </is>
      </c>
      <c r="E299" t="inlineStr">
        <is>
          <t>BORLÄNGE</t>
        </is>
      </c>
      <c r="G299" t="n">
        <v>16.1</v>
      </c>
      <c r="H299" t="n">
        <v>2</v>
      </c>
      <c r="I299" t="n">
        <v>0</v>
      </c>
      <c r="J299" t="n">
        <v>0</v>
      </c>
      <c r="K299" t="n">
        <v>1</v>
      </c>
      <c r="L299" t="n">
        <v>0</v>
      </c>
      <c r="M299" t="n">
        <v>0</v>
      </c>
      <c r="N299" t="n">
        <v>0</v>
      </c>
      <c r="O299" t="n">
        <v>1</v>
      </c>
      <c r="P299" t="n">
        <v>1</v>
      </c>
      <c r="Q299" t="n">
        <v>2</v>
      </c>
      <c r="R299" s="2" t="inlineStr">
        <is>
          <t>Knärot
Fläcknycklar</t>
        </is>
      </c>
      <c r="S299">
        <f>HYPERLINK("https://klasma.github.io/Logging_2081/artfynd/A 59665-2022.xlsx", "A 59665-2022")</f>
        <v/>
      </c>
      <c r="T299">
        <f>HYPERLINK("https://klasma.github.io/Logging_2081/kartor/A 59665-2022.png", "A 59665-2022")</f>
        <v/>
      </c>
      <c r="U299">
        <f>HYPERLINK("https://klasma.github.io/Logging_2081/knärot/A 59665-2022.png", "A 59665-2022")</f>
        <v/>
      </c>
      <c r="V299">
        <f>HYPERLINK("https://klasma.github.io/Logging_2081/klagomål/A 59665-2022.docx", "A 59665-2022")</f>
        <v/>
      </c>
      <c r="W299">
        <f>HYPERLINK("https://klasma.github.io/Logging_2081/klagomålsmail/A 59665-2022.docx", "A 59665-2022")</f>
        <v/>
      </c>
      <c r="X299">
        <f>HYPERLINK("https://klasma.github.io/Logging_2081/tillsyn/A 59665-2022.docx", "A 59665-2022")</f>
        <v/>
      </c>
      <c r="Y299">
        <f>HYPERLINK("https://klasma.github.io/Logging_2081/tillsynsmail/A 59665-2022.docx", "A 59665-2022")</f>
        <v/>
      </c>
    </row>
    <row r="300" ht="15" customHeight="1">
      <c r="A300" t="inlineStr">
        <is>
          <t>A 61289-2022</t>
        </is>
      </c>
      <c r="B300" s="1" t="n">
        <v>44909</v>
      </c>
      <c r="C300" s="1" t="n">
        <v>45210</v>
      </c>
      <c r="D300" t="inlineStr">
        <is>
          <t>DALARNAS LÄN</t>
        </is>
      </c>
      <c r="E300" t="inlineStr">
        <is>
          <t>SMEDJEBACKEN</t>
        </is>
      </c>
      <c r="F300" t="inlineStr">
        <is>
          <t>Bergvik skog väst AB</t>
        </is>
      </c>
      <c r="G300" t="n">
        <v>9.6</v>
      </c>
      <c r="H300" t="n">
        <v>1</v>
      </c>
      <c r="I300" t="n">
        <v>0</v>
      </c>
      <c r="J300" t="n">
        <v>2</v>
      </c>
      <c r="K300" t="n">
        <v>0</v>
      </c>
      <c r="L300" t="n">
        <v>0</v>
      </c>
      <c r="M300" t="n">
        <v>0</v>
      </c>
      <c r="N300" t="n">
        <v>0</v>
      </c>
      <c r="O300" t="n">
        <v>2</v>
      </c>
      <c r="P300" t="n">
        <v>0</v>
      </c>
      <c r="Q300" t="n">
        <v>2</v>
      </c>
      <c r="R300" s="2" t="inlineStr">
        <is>
          <t>Kungsörn
Skogshare</t>
        </is>
      </c>
      <c r="S300">
        <f>HYPERLINK("https://klasma.github.io/Logging_2061/artfynd/A 61289-2022.xlsx", "A 61289-2022")</f>
        <v/>
      </c>
      <c r="T300">
        <f>HYPERLINK("https://klasma.github.io/Logging_2061/kartor/A 61289-2022.png", "A 61289-2022")</f>
        <v/>
      </c>
      <c r="V300">
        <f>HYPERLINK("https://klasma.github.io/Logging_2061/klagomål/A 61289-2022.docx", "A 61289-2022")</f>
        <v/>
      </c>
      <c r="W300">
        <f>HYPERLINK("https://klasma.github.io/Logging_2061/klagomålsmail/A 61289-2022.docx", "A 61289-2022")</f>
        <v/>
      </c>
      <c r="X300">
        <f>HYPERLINK("https://klasma.github.io/Logging_2061/tillsyn/A 61289-2022.docx", "A 61289-2022")</f>
        <v/>
      </c>
      <c r="Y300">
        <f>HYPERLINK("https://klasma.github.io/Logging_2061/tillsynsmail/A 61289-2022.docx", "A 61289-2022")</f>
        <v/>
      </c>
    </row>
    <row r="301" ht="15" customHeight="1">
      <c r="A301" t="inlineStr">
        <is>
          <t>A 62396-2022</t>
        </is>
      </c>
      <c r="B301" s="1" t="n">
        <v>44923</v>
      </c>
      <c r="C301" s="1" t="n">
        <v>45210</v>
      </c>
      <c r="D301" t="inlineStr">
        <is>
          <t>DALARNAS LÄN</t>
        </is>
      </c>
      <c r="E301" t="inlineStr">
        <is>
          <t>FALUN</t>
        </is>
      </c>
      <c r="F301" t="inlineStr">
        <is>
          <t>Bergvik skog väst AB</t>
        </is>
      </c>
      <c r="G301" t="n">
        <v>2.8</v>
      </c>
      <c r="H301" t="n">
        <v>1</v>
      </c>
      <c r="I301" t="n">
        <v>1</v>
      </c>
      <c r="J301" t="n">
        <v>1</v>
      </c>
      <c r="K301" t="n">
        <v>0</v>
      </c>
      <c r="L301" t="n">
        <v>0</v>
      </c>
      <c r="M301" t="n">
        <v>0</v>
      </c>
      <c r="N301" t="n">
        <v>0</v>
      </c>
      <c r="O301" t="n">
        <v>1</v>
      </c>
      <c r="P301" t="n">
        <v>0</v>
      </c>
      <c r="Q301" t="n">
        <v>2</v>
      </c>
      <c r="R301" s="2" t="inlineStr">
        <is>
          <t>Spillkråka
Mindre märgborre</t>
        </is>
      </c>
      <c r="S301">
        <f>HYPERLINK("https://klasma.github.io/Logging_2080/artfynd/A 62396-2022.xlsx", "A 62396-2022")</f>
        <v/>
      </c>
      <c r="T301">
        <f>HYPERLINK("https://klasma.github.io/Logging_2080/kartor/A 62396-2022.png", "A 62396-2022")</f>
        <v/>
      </c>
      <c r="V301">
        <f>HYPERLINK("https://klasma.github.io/Logging_2080/klagomål/A 62396-2022.docx", "A 62396-2022")</f>
        <v/>
      </c>
      <c r="W301">
        <f>HYPERLINK("https://klasma.github.io/Logging_2080/klagomålsmail/A 62396-2022.docx", "A 62396-2022")</f>
        <v/>
      </c>
      <c r="X301">
        <f>HYPERLINK("https://klasma.github.io/Logging_2080/tillsyn/A 62396-2022.docx", "A 62396-2022")</f>
        <v/>
      </c>
      <c r="Y301">
        <f>HYPERLINK("https://klasma.github.io/Logging_2080/tillsynsmail/A 62396-2022.docx", "A 62396-2022")</f>
        <v/>
      </c>
    </row>
    <row r="302" ht="15" customHeight="1">
      <c r="A302" t="inlineStr">
        <is>
          <t>A 377-2023</t>
        </is>
      </c>
      <c r="B302" s="1" t="n">
        <v>44929</v>
      </c>
      <c r="C302" s="1" t="n">
        <v>45210</v>
      </c>
      <c r="D302" t="inlineStr">
        <is>
          <t>DALARNAS LÄN</t>
        </is>
      </c>
      <c r="E302" t="inlineStr">
        <is>
          <t>GAGNEF</t>
        </is>
      </c>
      <c r="G302" t="n">
        <v>1.7</v>
      </c>
      <c r="H302" t="n">
        <v>1</v>
      </c>
      <c r="I302" t="n">
        <v>0</v>
      </c>
      <c r="J302" t="n">
        <v>2</v>
      </c>
      <c r="K302" t="n">
        <v>0</v>
      </c>
      <c r="L302" t="n">
        <v>0</v>
      </c>
      <c r="M302" t="n">
        <v>0</v>
      </c>
      <c r="N302" t="n">
        <v>0</v>
      </c>
      <c r="O302" t="n">
        <v>2</v>
      </c>
      <c r="P302" t="n">
        <v>0</v>
      </c>
      <c r="Q302" t="n">
        <v>2</v>
      </c>
      <c r="R302" s="2" t="inlineStr">
        <is>
          <t>Lunglav
Svartvit flugsnappare</t>
        </is>
      </c>
      <c r="S302">
        <f>HYPERLINK("https://klasma.github.io/Logging_2026/artfynd/A 377-2023.xlsx", "A 377-2023")</f>
        <v/>
      </c>
      <c r="T302">
        <f>HYPERLINK("https://klasma.github.io/Logging_2026/kartor/A 377-2023.png", "A 377-2023")</f>
        <v/>
      </c>
      <c r="V302">
        <f>HYPERLINK("https://klasma.github.io/Logging_2026/klagomål/A 377-2023.docx", "A 377-2023")</f>
        <v/>
      </c>
      <c r="W302">
        <f>HYPERLINK("https://klasma.github.io/Logging_2026/klagomålsmail/A 377-2023.docx", "A 377-2023")</f>
        <v/>
      </c>
      <c r="X302">
        <f>HYPERLINK("https://klasma.github.io/Logging_2026/tillsyn/A 377-2023.docx", "A 377-2023")</f>
        <v/>
      </c>
      <c r="Y302">
        <f>HYPERLINK("https://klasma.github.io/Logging_2026/tillsynsmail/A 377-2023.docx", "A 377-2023")</f>
        <v/>
      </c>
    </row>
    <row r="303" ht="15" customHeight="1">
      <c r="A303" t="inlineStr">
        <is>
          <t>A 2556-2023</t>
        </is>
      </c>
      <c r="B303" s="1" t="n">
        <v>44943</v>
      </c>
      <c r="C303" s="1" t="n">
        <v>45210</v>
      </c>
      <c r="D303" t="inlineStr">
        <is>
          <t>DALARNAS LÄN</t>
        </is>
      </c>
      <c r="E303" t="inlineStr">
        <is>
          <t>FALUN</t>
        </is>
      </c>
      <c r="G303" t="n">
        <v>0.9</v>
      </c>
      <c r="H303" t="n">
        <v>0</v>
      </c>
      <c r="I303" t="n">
        <v>1</v>
      </c>
      <c r="J303" t="n">
        <v>0</v>
      </c>
      <c r="K303" t="n">
        <v>0</v>
      </c>
      <c r="L303" t="n">
        <v>1</v>
      </c>
      <c r="M303" t="n">
        <v>0</v>
      </c>
      <c r="N303" t="n">
        <v>0</v>
      </c>
      <c r="O303" t="n">
        <v>1</v>
      </c>
      <c r="P303" t="n">
        <v>1</v>
      </c>
      <c r="Q303" t="n">
        <v>2</v>
      </c>
      <c r="R303" s="2" t="inlineStr">
        <is>
          <t>Trolldruvemätare
Svart trolldruva</t>
        </is>
      </c>
      <c r="S303">
        <f>HYPERLINK("https://klasma.github.io/Logging_2080/artfynd/A 2556-2023.xlsx", "A 2556-2023")</f>
        <v/>
      </c>
      <c r="T303">
        <f>HYPERLINK("https://klasma.github.io/Logging_2080/kartor/A 2556-2023.png", "A 2556-2023")</f>
        <v/>
      </c>
      <c r="V303">
        <f>HYPERLINK("https://klasma.github.io/Logging_2080/klagomål/A 2556-2023.docx", "A 2556-2023")</f>
        <v/>
      </c>
      <c r="W303">
        <f>HYPERLINK("https://klasma.github.io/Logging_2080/klagomålsmail/A 2556-2023.docx", "A 2556-2023")</f>
        <v/>
      </c>
      <c r="X303">
        <f>HYPERLINK("https://klasma.github.io/Logging_2080/tillsyn/A 2556-2023.docx", "A 2556-2023")</f>
        <v/>
      </c>
      <c r="Y303">
        <f>HYPERLINK("https://klasma.github.io/Logging_2080/tillsynsmail/A 2556-2023.docx", "A 2556-2023")</f>
        <v/>
      </c>
    </row>
    <row r="304" ht="15" customHeight="1">
      <c r="A304" t="inlineStr">
        <is>
          <t>A 11751-2023</t>
        </is>
      </c>
      <c r="B304" s="1" t="n">
        <v>44994</v>
      </c>
      <c r="C304" s="1" t="n">
        <v>45210</v>
      </c>
      <c r="D304" t="inlineStr">
        <is>
          <t>DALARNAS LÄN</t>
        </is>
      </c>
      <c r="E304" t="inlineStr">
        <is>
          <t>HEDEMORA</t>
        </is>
      </c>
      <c r="G304" t="n">
        <v>3.7</v>
      </c>
      <c r="H304" t="n">
        <v>1</v>
      </c>
      <c r="I304" t="n">
        <v>0</v>
      </c>
      <c r="J304" t="n">
        <v>1</v>
      </c>
      <c r="K304" t="n">
        <v>0</v>
      </c>
      <c r="L304" t="n">
        <v>0</v>
      </c>
      <c r="M304" t="n">
        <v>0</v>
      </c>
      <c r="N304" t="n">
        <v>0</v>
      </c>
      <c r="O304" t="n">
        <v>1</v>
      </c>
      <c r="P304" t="n">
        <v>0</v>
      </c>
      <c r="Q304" t="n">
        <v>2</v>
      </c>
      <c r="R304" s="2" t="inlineStr">
        <is>
          <t>Vedtrappmossa
Blåsippa</t>
        </is>
      </c>
      <c r="S304">
        <f>HYPERLINK("https://klasma.github.io/Logging_2083/artfynd/A 11751-2023.xlsx", "A 11751-2023")</f>
        <v/>
      </c>
      <c r="T304">
        <f>HYPERLINK("https://klasma.github.io/Logging_2083/kartor/A 11751-2023.png", "A 11751-2023")</f>
        <v/>
      </c>
      <c r="V304">
        <f>HYPERLINK("https://klasma.github.io/Logging_2083/klagomål/A 11751-2023.docx", "A 11751-2023")</f>
        <v/>
      </c>
      <c r="W304">
        <f>HYPERLINK("https://klasma.github.io/Logging_2083/klagomålsmail/A 11751-2023.docx", "A 11751-2023")</f>
        <v/>
      </c>
      <c r="X304">
        <f>HYPERLINK("https://klasma.github.io/Logging_2083/tillsyn/A 11751-2023.docx", "A 11751-2023")</f>
        <v/>
      </c>
      <c r="Y304">
        <f>HYPERLINK("https://klasma.github.io/Logging_2083/tillsynsmail/A 11751-2023.docx", "A 11751-2023")</f>
        <v/>
      </c>
    </row>
    <row r="305" ht="15" customHeight="1">
      <c r="A305" t="inlineStr">
        <is>
          <t>A 12314-2023</t>
        </is>
      </c>
      <c r="B305" s="1" t="n">
        <v>44996</v>
      </c>
      <c r="C305" s="1" t="n">
        <v>45210</v>
      </c>
      <c r="D305" t="inlineStr">
        <is>
          <t>DALARNAS LÄN</t>
        </is>
      </c>
      <c r="E305" t="inlineStr">
        <is>
          <t>BORLÄNGE</t>
        </is>
      </c>
      <c r="G305" t="n">
        <v>22.7</v>
      </c>
      <c r="H305" t="n">
        <v>0</v>
      </c>
      <c r="I305" t="n">
        <v>1</v>
      </c>
      <c r="J305" t="n">
        <v>1</v>
      </c>
      <c r="K305" t="n">
        <v>0</v>
      </c>
      <c r="L305" t="n">
        <v>0</v>
      </c>
      <c r="M305" t="n">
        <v>0</v>
      </c>
      <c r="N305" t="n">
        <v>0</v>
      </c>
      <c r="O305" t="n">
        <v>1</v>
      </c>
      <c r="P305" t="n">
        <v>0</v>
      </c>
      <c r="Q305" t="n">
        <v>2</v>
      </c>
      <c r="R305" s="2" t="inlineStr">
        <is>
          <t>Skrovlig taggsvamp
Dropptaggsvamp</t>
        </is>
      </c>
      <c r="S305">
        <f>HYPERLINK("https://klasma.github.io/Logging_2081/artfynd/A 12314-2023.xlsx", "A 12314-2023")</f>
        <v/>
      </c>
      <c r="T305">
        <f>HYPERLINK("https://klasma.github.io/Logging_2081/kartor/A 12314-2023.png", "A 12314-2023")</f>
        <v/>
      </c>
      <c r="V305">
        <f>HYPERLINK("https://klasma.github.io/Logging_2081/klagomål/A 12314-2023.docx", "A 12314-2023")</f>
        <v/>
      </c>
      <c r="W305">
        <f>HYPERLINK("https://klasma.github.io/Logging_2081/klagomålsmail/A 12314-2023.docx", "A 12314-2023")</f>
        <v/>
      </c>
      <c r="X305">
        <f>HYPERLINK("https://klasma.github.io/Logging_2081/tillsyn/A 12314-2023.docx", "A 12314-2023")</f>
        <v/>
      </c>
      <c r="Y305">
        <f>HYPERLINK("https://klasma.github.io/Logging_2081/tillsynsmail/A 12314-2023.docx", "A 12314-2023")</f>
        <v/>
      </c>
    </row>
    <row r="306" ht="15" customHeight="1">
      <c r="A306" t="inlineStr">
        <is>
          <t>A 12444-2023</t>
        </is>
      </c>
      <c r="B306" s="1" t="n">
        <v>44999</v>
      </c>
      <c r="C306" s="1" t="n">
        <v>45210</v>
      </c>
      <c r="D306" t="inlineStr">
        <is>
          <t>DALARNAS LÄN</t>
        </is>
      </c>
      <c r="E306" t="inlineStr">
        <is>
          <t>BORLÄNGE</t>
        </is>
      </c>
      <c r="G306" t="n">
        <v>7.5</v>
      </c>
      <c r="H306" t="n">
        <v>1</v>
      </c>
      <c r="I306" t="n">
        <v>0</v>
      </c>
      <c r="J306" t="n">
        <v>2</v>
      </c>
      <c r="K306" t="n">
        <v>0</v>
      </c>
      <c r="L306" t="n">
        <v>0</v>
      </c>
      <c r="M306" t="n">
        <v>0</v>
      </c>
      <c r="N306" t="n">
        <v>0</v>
      </c>
      <c r="O306" t="n">
        <v>2</v>
      </c>
      <c r="P306" t="n">
        <v>0</v>
      </c>
      <c r="Q306" t="n">
        <v>2</v>
      </c>
      <c r="R306" s="2" t="inlineStr">
        <is>
          <t>Dofttaggsvamp
Talltita</t>
        </is>
      </c>
      <c r="S306">
        <f>HYPERLINK("https://klasma.github.io/Logging_2081/artfynd/A 12444-2023.xlsx", "A 12444-2023")</f>
        <v/>
      </c>
      <c r="T306">
        <f>HYPERLINK("https://klasma.github.io/Logging_2081/kartor/A 12444-2023.png", "A 12444-2023")</f>
        <v/>
      </c>
      <c r="V306">
        <f>HYPERLINK("https://klasma.github.io/Logging_2081/klagomål/A 12444-2023.docx", "A 12444-2023")</f>
        <v/>
      </c>
      <c r="W306">
        <f>HYPERLINK("https://klasma.github.io/Logging_2081/klagomålsmail/A 12444-2023.docx", "A 12444-2023")</f>
        <v/>
      </c>
      <c r="X306">
        <f>HYPERLINK("https://klasma.github.io/Logging_2081/tillsyn/A 12444-2023.docx", "A 12444-2023")</f>
        <v/>
      </c>
      <c r="Y306">
        <f>HYPERLINK("https://klasma.github.io/Logging_2081/tillsynsmail/A 12444-2023.docx", "A 12444-2023")</f>
        <v/>
      </c>
    </row>
    <row r="307" ht="15" customHeight="1">
      <c r="A307" t="inlineStr">
        <is>
          <t>A 13916-2023</t>
        </is>
      </c>
      <c r="B307" s="1" t="n">
        <v>45008</v>
      </c>
      <c r="C307" s="1" t="n">
        <v>45210</v>
      </c>
      <c r="D307" t="inlineStr">
        <is>
          <t>DALARNAS LÄN</t>
        </is>
      </c>
      <c r="E307" t="inlineStr">
        <is>
          <t>HEDEMORA</t>
        </is>
      </c>
      <c r="G307" t="n">
        <v>3.9</v>
      </c>
      <c r="H307" t="n">
        <v>1</v>
      </c>
      <c r="I307" t="n">
        <v>0</v>
      </c>
      <c r="J307" t="n">
        <v>1</v>
      </c>
      <c r="K307" t="n">
        <v>1</v>
      </c>
      <c r="L307" t="n">
        <v>0</v>
      </c>
      <c r="M307" t="n">
        <v>0</v>
      </c>
      <c r="N307" t="n">
        <v>0</v>
      </c>
      <c r="O307" t="n">
        <v>2</v>
      </c>
      <c r="P307" t="n">
        <v>1</v>
      </c>
      <c r="Q307" t="n">
        <v>2</v>
      </c>
      <c r="R307" s="2" t="inlineStr">
        <is>
          <t>Knärot
Skrovlig flatbagge</t>
        </is>
      </c>
      <c r="S307">
        <f>HYPERLINK("https://klasma.github.io/Logging_2083/artfynd/A 13916-2023.xlsx", "A 13916-2023")</f>
        <v/>
      </c>
      <c r="T307">
        <f>HYPERLINK("https://klasma.github.io/Logging_2083/kartor/A 13916-2023.png", "A 13916-2023")</f>
        <v/>
      </c>
      <c r="U307">
        <f>HYPERLINK("https://klasma.github.io/Logging_2083/knärot/A 13916-2023.png", "A 13916-2023")</f>
        <v/>
      </c>
      <c r="V307">
        <f>HYPERLINK("https://klasma.github.io/Logging_2083/klagomål/A 13916-2023.docx", "A 13916-2023")</f>
        <v/>
      </c>
      <c r="W307">
        <f>HYPERLINK("https://klasma.github.io/Logging_2083/klagomålsmail/A 13916-2023.docx", "A 13916-2023")</f>
        <v/>
      </c>
      <c r="X307">
        <f>HYPERLINK("https://klasma.github.io/Logging_2083/tillsyn/A 13916-2023.docx", "A 13916-2023")</f>
        <v/>
      </c>
      <c r="Y307">
        <f>HYPERLINK("https://klasma.github.io/Logging_2083/tillsynsmail/A 13916-2023.docx", "A 13916-2023")</f>
        <v/>
      </c>
    </row>
    <row r="308" ht="15" customHeight="1">
      <c r="A308" t="inlineStr">
        <is>
          <t>A 13989-2023</t>
        </is>
      </c>
      <c r="B308" s="1" t="n">
        <v>45008</v>
      </c>
      <c r="C308" s="1" t="n">
        <v>45210</v>
      </c>
      <c r="D308" t="inlineStr">
        <is>
          <t>DALARNAS LÄN</t>
        </is>
      </c>
      <c r="E308" t="inlineStr">
        <is>
          <t>HEDEMORA</t>
        </is>
      </c>
      <c r="G308" t="n">
        <v>1.2</v>
      </c>
      <c r="H308" t="n">
        <v>1</v>
      </c>
      <c r="I308" t="n">
        <v>1</v>
      </c>
      <c r="J308" t="n">
        <v>0</v>
      </c>
      <c r="K308" t="n">
        <v>1</v>
      </c>
      <c r="L308" t="n">
        <v>0</v>
      </c>
      <c r="M308" t="n">
        <v>0</v>
      </c>
      <c r="N308" t="n">
        <v>0</v>
      </c>
      <c r="O308" t="n">
        <v>1</v>
      </c>
      <c r="P308" t="n">
        <v>1</v>
      </c>
      <c r="Q308" t="n">
        <v>2</v>
      </c>
      <c r="R308" s="2" t="inlineStr">
        <is>
          <t>Knärot
Bronshjon</t>
        </is>
      </c>
      <c r="S308">
        <f>HYPERLINK("https://klasma.github.io/Logging_2083/artfynd/A 13989-2023.xlsx", "A 13989-2023")</f>
        <v/>
      </c>
      <c r="T308">
        <f>HYPERLINK("https://klasma.github.io/Logging_2083/kartor/A 13989-2023.png", "A 13989-2023")</f>
        <v/>
      </c>
      <c r="U308">
        <f>HYPERLINK("https://klasma.github.io/Logging_2083/knärot/A 13989-2023.png", "A 13989-2023")</f>
        <v/>
      </c>
      <c r="V308">
        <f>HYPERLINK("https://klasma.github.io/Logging_2083/klagomål/A 13989-2023.docx", "A 13989-2023")</f>
        <v/>
      </c>
      <c r="W308">
        <f>HYPERLINK("https://klasma.github.io/Logging_2083/klagomålsmail/A 13989-2023.docx", "A 13989-2023")</f>
        <v/>
      </c>
      <c r="X308">
        <f>HYPERLINK("https://klasma.github.io/Logging_2083/tillsyn/A 13989-2023.docx", "A 13989-2023")</f>
        <v/>
      </c>
      <c r="Y308">
        <f>HYPERLINK("https://klasma.github.io/Logging_2083/tillsynsmail/A 13989-2023.docx", "A 13989-2023")</f>
        <v/>
      </c>
    </row>
    <row r="309" ht="15" customHeight="1">
      <c r="A309" t="inlineStr">
        <is>
          <t>A 15210-2023</t>
        </is>
      </c>
      <c r="B309" s="1" t="n">
        <v>45018</v>
      </c>
      <c r="C309" s="1" t="n">
        <v>45210</v>
      </c>
      <c r="D309" t="inlineStr">
        <is>
          <t>DALARNAS LÄN</t>
        </is>
      </c>
      <c r="E309" t="inlineStr">
        <is>
          <t>SMEDJEBACKEN</t>
        </is>
      </c>
      <c r="G309" t="n">
        <v>9.4</v>
      </c>
      <c r="H309" t="n">
        <v>2</v>
      </c>
      <c r="I309" t="n">
        <v>0</v>
      </c>
      <c r="J309" t="n">
        <v>1</v>
      </c>
      <c r="K309" t="n">
        <v>0</v>
      </c>
      <c r="L309" t="n">
        <v>0</v>
      </c>
      <c r="M309" t="n">
        <v>0</v>
      </c>
      <c r="N309" t="n">
        <v>0</v>
      </c>
      <c r="O309" t="n">
        <v>1</v>
      </c>
      <c r="P309" t="n">
        <v>0</v>
      </c>
      <c r="Q309" t="n">
        <v>2</v>
      </c>
      <c r="R309" s="2" t="inlineStr">
        <is>
          <t>Nordfladdermus
Vattenfladdermus</t>
        </is>
      </c>
      <c r="S309">
        <f>HYPERLINK("https://klasma.github.io/Logging_2061/artfynd/A 15210-2023.xlsx", "A 15210-2023")</f>
        <v/>
      </c>
      <c r="T309">
        <f>HYPERLINK("https://klasma.github.io/Logging_2061/kartor/A 15210-2023.png", "A 15210-2023")</f>
        <v/>
      </c>
      <c r="V309">
        <f>HYPERLINK("https://klasma.github.io/Logging_2061/klagomål/A 15210-2023.docx", "A 15210-2023")</f>
        <v/>
      </c>
      <c r="W309">
        <f>HYPERLINK("https://klasma.github.io/Logging_2061/klagomålsmail/A 15210-2023.docx", "A 15210-2023")</f>
        <v/>
      </c>
      <c r="X309">
        <f>HYPERLINK("https://klasma.github.io/Logging_2061/tillsyn/A 15210-2023.docx", "A 15210-2023")</f>
        <v/>
      </c>
      <c r="Y309">
        <f>HYPERLINK("https://klasma.github.io/Logging_2061/tillsynsmail/A 15210-2023.docx", "A 15210-2023")</f>
        <v/>
      </c>
    </row>
    <row r="310" ht="15" customHeight="1">
      <c r="A310" t="inlineStr">
        <is>
          <t>A 16832-2023</t>
        </is>
      </c>
      <c r="B310" s="1" t="n">
        <v>45033</v>
      </c>
      <c r="C310" s="1" t="n">
        <v>45210</v>
      </c>
      <c r="D310" t="inlineStr">
        <is>
          <t>DALARNAS LÄN</t>
        </is>
      </c>
      <c r="E310" t="inlineStr">
        <is>
          <t>RÄTTVIK</t>
        </is>
      </c>
      <c r="G310" t="n">
        <v>1.7</v>
      </c>
      <c r="H310" t="n">
        <v>0</v>
      </c>
      <c r="I310" t="n">
        <v>0</v>
      </c>
      <c r="J310" t="n">
        <v>2</v>
      </c>
      <c r="K310" t="n">
        <v>0</v>
      </c>
      <c r="L310" t="n">
        <v>0</v>
      </c>
      <c r="M310" t="n">
        <v>0</v>
      </c>
      <c r="N310" t="n">
        <v>0</v>
      </c>
      <c r="O310" t="n">
        <v>2</v>
      </c>
      <c r="P310" t="n">
        <v>0</v>
      </c>
      <c r="Q310" t="n">
        <v>2</v>
      </c>
      <c r="R310" s="2" t="inlineStr">
        <is>
          <t>Garnlav
Ullticka</t>
        </is>
      </c>
      <c r="S310">
        <f>HYPERLINK("https://klasma.github.io/Logging_2031/artfynd/A 16832-2023.xlsx", "A 16832-2023")</f>
        <v/>
      </c>
      <c r="T310">
        <f>HYPERLINK("https://klasma.github.io/Logging_2031/kartor/A 16832-2023.png", "A 16832-2023")</f>
        <v/>
      </c>
      <c r="V310">
        <f>HYPERLINK("https://klasma.github.io/Logging_2031/klagomål/A 16832-2023.docx", "A 16832-2023")</f>
        <v/>
      </c>
      <c r="W310">
        <f>HYPERLINK("https://klasma.github.io/Logging_2031/klagomålsmail/A 16832-2023.docx", "A 16832-2023")</f>
        <v/>
      </c>
      <c r="X310">
        <f>HYPERLINK("https://klasma.github.io/Logging_2031/tillsyn/A 16832-2023.docx", "A 16832-2023")</f>
        <v/>
      </c>
      <c r="Y310">
        <f>HYPERLINK("https://klasma.github.io/Logging_2031/tillsynsmail/A 16832-2023.docx", "A 16832-2023")</f>
        <v/>
      </c>
    </row>
    <row r="311" ht="15" customHeight="1">
      <c r="A311" t="inlineStr">
        <is>
          <t>A 19338-2023</t>
        </is>
      </c>
      <c r="B311" s="1" t="n">
        <v>45049</v>
      </c>
      <c r="C311" s="1" t="n">
        <v>45210</v>
      </c>
      <c r="D311" t="inlineStr">
        <is>
          <t>DALARNAS LÄN</t>
        </is>
      </c>
      <c r="E311" t="inlineStr">
        <is>
          <t>LUDVIKA</t>
        </is>
      </c>
      <c r="G311" t="n">
        <v>13.7</v>
      </c>
      <c r="H311" t="n">
        <v>0</v>
      </c>
      <c r="I311" t="n">
        <v>1</v>
      </c>
      <c r="J311" t="n">
        <v>1</v>
      </c>
      <c r="K311" t="n">
        <v>0</v>
      </c>
      <c r="L311" t="n">
        <v>0</v>
      </c>
      <c r="M311" t="n">
        <v>0</v>
      </c>
      <c r="N311" t="n">
        <v>0</v>
      </c>
      <c r="O311" t="n">
        <v>1</v>
      </c>
      <c r="P311" t="n">
        <v>0</v>
      </c>
      <c r="Q311" t="n">
        <v>2</v>
      </c>
      <c r="R311" s="2" t="inlineStr">
        <is>
          <t>Motaggsvamp
Dropptaggsvamp</t>
        </is>
      </c>
      <c r="S311">
        <f>HYPERLINK("https://klasma.github.io/Logging_2085/artfynd/A 19338-2023.xlsx", "A 19338-2023")</f>
        <v/>
      </c>
      <c r="T311">
        <f>HYPERLINK("https://klasma.github.io/Logging_2085/kartor/A 19338-2023.png", "A 19338-2023")</f>
        <v/>
      </c>
      <c r="V311">
        <f>HYPERLINK("https://klasma.github.io/Logging_2085/klagomål/A 19338-2023.docx", "A 19338-2023")</f>
        <v/>
      </c>
      <c r="W311">
        <f>HYPERLINK("https://klasma.github.io/Logging_2085/klagomålsmail/A 19338-2023.docx", "A 19338-2023")</f>
        <v/>
      </c>
      <c r="X311">
        <f>HYPERLINK("https://klasma.github.io/Logging_2085/tillsyn/A 19338-2023.docx", "A 19338-2023")</f>
        <v/>
      </c>
      <c r="Y311">
        <f>HYPERLINK("https://klasma.github.io/Logging_2085/tillsynsmail/A 19338-2023.docx", "A 19338-2023")</f>
        <v/>
      </c>
    </row>
    <row r="312" ht="15" customHeight="1">
      <c r="A312" t="inlineStr">
        <is>
          <t>A 21074-2023</t>
        </is>
      </c>
      <c r="B312" s="1" t="n">
        <v>45061</v>
      </c>
      <c r="C312" s="1" t="n">
        <v>45210</v>
      </c>
      <c r="D312" t="inlineStr">
        <is>
          <t>DALARNAS LÄN</t>
        </is>
      </c>
      <c r="E312" t="inlineStr">
        <is>
          <t>LUDVIKA</t>
        </is>
      </c>
      <c r="F312" t="inlineStr">
        <is>
          <t>Bergvik skog väst AB</t>
        </is>
      </c>
      <c r="G312" t="n">
        <v>12</v>
      </c>
      <c r="H312" t="n">
        <v>0</v>
      </c>
      <c r="I312" t="n">
        <v>2</v>
      </c>
      <c r="J312" t="n">
        <v>0</v>
      </c>
      <c r="K312" t="n">
        <v>0</v>
      </c>
      <c r="L312" t="n">
        <v>0</v>
      </c>
      <c r="M312" t="n">
        <v>0</v>
      </c>
      <c r="N312" t="n">
        <v>0</v>
      </c>
      <c r="O312" t="n">
        <v>0</v>
      </c>
      <c r="P312" t="n">
        <v>0</v>
      </c>
      <c r="Q312" t="n">
        <v>2</v>
      </c>
      <c r="R312" s="2" t="inlineStr">
        <is>
          <t>Bårdlav
Korallblylav</t>
        </is>
      </c>
      <c r="S312">
        <f>HYPERLINK("https://klasma.github.io/Logging_2085/artfynd/A 21074-2023.xlsx", "A 21074-2023")</f>
        <v/>
      </c>
      <c r="T312">
        <f>HYPERLINK("https://klasma.github.io/Logging_2085/kartor/A 21074-2023.png", "A 21074-2023")</f>
        <v/>
      </c>
      <c r="V312">
        <f>HYPERLINK("https://klasma.github.io/Logging_2085/klagomål/A 21074-2023.docx", "A 21074-2023")</f>
        <v/>
      </c>
      <c r="W312">
        <f>HYPERLINK("https://klasma.github.io/Logging_2085/klagomålsmail/A 21074-2023.docx", "A 21074-2023")</f>
        <v/>
      </c>
      <c r="X312">
        <f>HYPERLINK("https://klasma.github.io/Logging_2085/tillsyn/A 21074-2023.docx", "A 21074-2023")</f>
        <v/>
      </c>
      <c r="Y312">
        <f>HYPERLINK("https://klasma.github.io/Logging_2085/tillsynsmail/A 21074-2023.docx", "A 21074-2023")</f>
        <v/>
      </c>
    </row>
    <row r="313" ht="15" customHeight="1">
      <c r="A313" t="inlineStr">
        <is>
          <t>A 21706-2023</t>
        </is>
      </c>
      <c r="B313" s="1" t="n">
        <v>45064</v>
      </c>
      <c r="C313" s="1" t="n">
        <v>45210</v>
      </c>
      <c r="D313" t="inlineStr">
        <is>
          <t>DALARNAS LÄN</t>
        </is>
      </c>
      <c r="E313" t="inlineStr">
        <is>
          <t>SMEDJEBACKEN</t>
        </is>
      </c>
      <c r="F313" t="inlineStr">
        <is>
          <t>Övriga Aktiebolag</t>
        </is>
      </c>
      <c r="G313" t="n">
        <v>7.1</v>
      </c>
      <c r="H313" t="n">
        <v>2</v>
      </c>
      <c r="I313" t="n">
        <v>0</v>
      </c>
      <c r="J313" t="n">
        <v>0</v>
      </c>
      <c r="K313" t="n">
        <v>0</v>
      </c>
      <c r="L313" t="n">
        <v>0</v>
      </c>
      <c r="M313" t="n">
        <v>0</v>
      </c>
      <c r="N313" t="n">
        <v>0</v>
      </c>
      <c r="O313" t="n">
        <v>0</v>
      </c>
      <c r="P313" t="n">
        <v>0</v>
      </c>
      <c r="Q313" t="n">
        <v>2</v>
      </c>
      <c r="R313" s="2" t="inlineStr">
        <is>
          <t>Fläcknycklar
Mattlummer</t>
        </is>
      </c>
      <c r="S313">
        <f>HYPERLINK("https://klasma.github.io/Logging_2061/artfynd/A 21706-2023.xlsx", "A 21706-2023")</f>
        <v/>
      </c>
      <c r="T313">
        <f>HYPERLINK("https://klasma.github.io/Logging_2061/kartor/A 21706-2023.png", "A 21706-2023")</f>
        <v/>
      </c>
      <c r="V313">
        <f>HYPERLINK("https://klasma.github.io/Logging_2061/klagomål/A 21706-2023.docx", "A 21706-2023")</f>
        <v/>
      </c>
      <c r="W313">
        <f>HYPERLINK("https://klasma.github.io/Logging_2061/klagomålsmail/A 21706-2023.docx", "A 21706-2023")</f>
        <v/>
      </c>
      <c r="X313">
        <f>HYPERLINK("https://klasma.github.io/Logging_2061/tillsyn/A 21706-2023.docx", "A 21706-2023")</f>
        <v/>
      </c>
      <c r="Y313">
        <f>HYPERLINK("https://klasma.github.io/Logging_2061/tillsynsmail/A 21706-2023.docx", "A 21706-2023")</f>
        <v/>
      </c>
    </row>
    <row r="314" ht="15" customHeight="1">
      <c r="A314" t="inlineStr">
        <is>
          <t>A 21926-2023</t>
        </is>
      </c>
      <c r="B314" s="1" t="n">
        <v>45068</v>
      </c>
      <c r="C314" s="1" t="n">
        <v>45210</v>
      </c>
      <c r="D314" t="inlineStr">
        <is>
          <t>DALARNAS LÄN</t>
        </is>
      </c>
      <c r="E314" t="inlineStr">
        <is>
          <t>BORLÄNGE</t>
        </is>
      </c>
      <c r="G314" t="n">
        <v>1.4</v>
      </c>
      <c r="H314" t="n">
        <v>1</v>
      </c>
      <c r="I314" t="n">
        <v>1</v>
      </c>
      <c r="J314" t="n">
        <v>0</v>
      </c>
      <c r="K314" t="n">
        <v>1</v>
      </c>
      <c r="L314" t="n">
        <v>0</v>
      </c>
      <c r="M314" t="n">
        <v>0</v>
      </c>
      <c r="N314" t="n">
        <v>0</v>
      </c>
      <c r="O314" t="n">
        <v>1</v>
      </c>
      <c r="P314" t="n">
        <v>1</v>
      </c>
      <c r="Q314" t="n">
        <v>2</v>
      </c>
      <c r="R314" s="2" t="inlineStr">
        <is>
          <t>Knärot
Vedticka</t>
        </is>
      </c>
      <c r="S314">
        <f>HYPERLINK("https://klasma.github.io/Logging_2081/artfynd/A 21926-2023.xlsx", "A 21926-2023")</f>
        <v/>
      </c>
      <c r="T314">
        <f>HYPERLINK("https://klasma.github.io/Logging_2081/kartor/A 21926-2023.png", "A 21926-2023")</f>
        <v/>
      </c>
      <c r="U314">
        <f>HYPERLINK("https://klasma.github.io/Logging_2081/knärot/A 21926-2023.png", "A 21926-2023")</f>
        <v/>
      </c>
      <c r="V314">
        <f>HYPERLINK("https://klasma.github.io/Logging_2081/klagomål/A 21926-2023.docx", "A 21926-2023")</f>
        <v/>
      </c>
      <c r="W314">
        <f>HYPERLINK("https://klasma.github.io/Logging_2081/klagomålsmail/A 21926-2023.docx", "A 21926-2023")</f>
        <v/>
      </c>
      <c r="X314">
        <f>HYPERLINK("https://klasma.github.io/Logging_2081/tillsyn/A 21926-2023.docx", "A 21926-2023")</f>
        <v/>
      </c>
      <c r="Y314">
        <f>HYPERLINK("https://klasma.github.io/Logging_2081/tillsynsmail/A 21926-2023.docx", "A 21926-2023")</f>
        <v/>
      </c>
    </row>
    <row r="315" ht="15" customHeight="1">
      <c r="A315" t="inlineStr">
        <is>
          <t>A 21857-2023</t>
        </is>
      </c>
      <c r="B315" s="1" t="n">
        <v>45068</v>
      </c>
      <c r="C315" s="1" t="n">
        <v>45210</v>
      </c>
      <c r="D315" t="inlineStr">
        <is>
          <t>DALARNAS LÄN</t>
        </is>
      </c>
      <c r="E315" t="inlineStr">
        <is>
          <t>ÄLVDALEN</t>
        </is>
      </c>
      <c r="F315" t="inlineStr">
        <is>
          <t>Allmännings- och besparingsskogar</t>
        </is>
      </c>
      <c r="G315" t="n">
        <v>25.2</v>
      </c>
      <c r="H315" t="n">
        <v>1</v>
      </c>
      <c r="I315" t="n">
        <v>0</v>
      </c>
      <c r="J315" t="n">
        <v>2</v>
      </c>
      <c r="K315" t="n">
        <v>0</v>
      </c>
      <c r="L315" t="n">
        <v>0</v>
      </c>
      <c r="M315" t="n">
        <v>0</v>
      </c>
      <c r="N315" t="n">
        <v>0</v>
      </c>
      <c r="O315" t="n">
        <v>2</v>
      </c>
      <c r="P315" t="n">
        <v>0</v>
      </c>
      <c r="Q315" t="n">
        <v>2</v>
      </c>
      <c r="R315" s="2" t="inlineStr">
        <is>
          <t>Svartvit flugsnappare
Vedflamlav</t>
        </is>
      </c>
      <c r="S315">
        <f>HYPERLINK("https://klasma.github.io/Logging_2039/artfynd/A 21857-2023.xlsx", "A 21857-2023")</f>
        <v/>
      </c>
      <c r="T315">
        <f>HYPERLINK("https://klasma.github.io/Logging_2039/kartor/A 21857-2023.png", "A 21857-2023")</f>
        <v/>
      </c>
      <c r="V315">
        <f>HYPERLINK("https://klasma.github.io/Logging_2039/klagomål/A 21857-2023.docx", "A 21857-2023")</f>
        <v/>
      </c>
      <c r="W315">
        <f>HYPERLINK("https://klasma.github.io/Logging_2039/klagomålsmail/A 21857-2023.docx", "A 21857-2023")</f>
        <v/>
      </c>
      <c r="X315">
        <f>HYPERLINK("https://klasma.github.io/Logging_2039/tillsyn/A 21857-2023.docx", "A 21857-2023")</f>
        <v/>
      </c>
      <c r="Y315">
        <f>HYPERLINK("https://klasma.github.io/Logging_2039/tillsynsmail/A 21857-2023.docx", "A 21857-2023")</f>
        <v/>
      </c>
    </row>
    <row r="316" ht="15" customHeight="1">
      <c r="A316" t="inlineStr">
        <is>
          <t>A 23652-2023</t>
        </is>
      </c>
      <c r="B316" s="1" t="n">
        <v>45074</v>
      </c>
      <c r="C316" s="1" t="n">
        <v>45210</v>
      </c>
      <c r="D316" t="inlineStr">
        <is>
          <t>DALARNAS LÄN</t>
        </is>
      </c>
      <c r="E316" t="inlineStr">
        <is>
          <t>BORLÄNGE</t>
        </is>
      </c>
      <c r="G316" t="n">
        <v>1.4</v>
      </c>
      <c r="H316" t="n">
        <v>1</v>
      </c>
      <c r="I316" t="n">
        <v>1</v>
      </c>
      <c r="J316" t="n">
        <v>1</v>
      </c>
      <c r="K316" t="n">
        <v>0</v>
      </c>
      <c r="L316" t="n">
        <v>0</v>
      </c>
      <c r="M316" t="n">
        <v>0</v>
      </c>
      <c r="N316" t="n">
        <v>0</v>
      </c>
      <c r="O316" t="n">
        <v>1</v>
      </c>
      <c r="P316" t="n">
        <v>0</v>
      </c>
      <c r="Q316" t="n">
        <v>2</v>
      </c>
      <c r="R316" s="2" t="inlineStr">
        <is>
          <t>Spillkråka
Tibast</t>
        </is>
      </c>
      <c r="S316">
        <f>HYPERLINK("https://klasma.github.io/Logging_2081/artfynd/A 23652-2023.xlsx", "A 23652-2023")</f>
        <v/>
      </c>
      <c r="T316">
        <f>HYPERLINK("https://klasma.github.io/Logging_2081/kartor/A 23652-2023.png", "A 23652-2023")</f>
        <v/>
      </c>
      <c r="V316">
        <f>HYPERLINK("https://klasma.github.io/Logging_2081/klagomål/A 23652-2023.docx", "A 23652-2023")</f>
        <v/>
      </c>
      <c r="W316">
        <f>HYPERLINK("https://klasma.github.io/Logging_2081/klagomålsmail/A 23652-2023.docx", "A 23652-2023")</f>
        <v/>
      </c>
      <c r="X316">
        <f>HYPERLINK("https://klasma.github.io/Logging_2081/tillsyn/A 23652-2023.docx", "A 23652-2023")</f>
        <v/>
      </c>
      <c r="Y316">
        <f>HYPERLINK("https://klasma.github.io/Logging_2081/tillsynsmail/A 23652-2023.docx", "A 23652-2023")</f>
        <v/>
      </c>
    </row>
    <row r="317" ht="15" customHeight="1">
      <c r="A317" t="inlineStr">
        <is>
          <t>A 25378-2023</t>
        </is>
      </c>
      <c r="B317" s="1" t="n">
        <v>45089</v>
      </c>
      <c r="C317" s="1" t="n">
        <v>45210</v>
      </c>
      <c r="D317" t="inlineStr">
        <is>
          <t>DALARNAS LÄN</t>
        </is>
      </c>
      <c r="E317" t="inlineStr">
        <is>
          <t>ÄLVDALEN</t>
        </is>
      </c>
      <c r="F317" t="inlineStr">
        <is>
          <t>Sveaskog</t>
        </is>
      </c>
      <c r="G317" t="n">
        <v>2.8</v>
      </c>
      <c r="H317" t="n">
        <v>0</v>
      </c>
      <c r="I317" t="n">
        <v>0</v>
      </c>
      <c r="J317" t="n">
        <v>2</v>
      </c>
      <c r="K317" t="n">
        <v>0</v>
      </c>
      <c r="L317" t="n">
        <v>0</v>
      </c>
      <c r="M317" t="n">
        <v>0</v>
      </c>
      <c r="N317" t="n">
        <v>0</v>
      </c>
      <c r="O317" t="n">
        <v>2</v>
      </c>
      <c r="P317" t="n">
        <v>0</v>
      </c>
      <c r="Q317" t="n">
        <v>2</v>
      </c>
      <c r="R317" s="2" t="inlineStr">
        <is>
          <t>Blanksvart spiklav
Garnlav</t>
        </is>
      </c>
      <c r="S317">
        <f>HYPERLINK("https://klasma.github.io/Logging_2039/artfynd/A 25378-2023.xlsx", "A 25378-2023")</f>
        <v/>
      </c>
      <c r="T317">
        <f>HYPERLINK("https://klasma.github.io/Logging_2039/kartor/A 25378-2023.png", "A 25378-2023")</f>
        <v/>
      </c>
      <c r="V317">
        <f>HYPERLINK("https://klasma.github.io/Logging_2039/klagomål/A 25378-2023.docx", "A 25378-2023")</f>
        <v/>
      </c>
      <c r="W317">
        <f>HYPERLINK("https://klasma.github.io/Logging_2039/klagomålsmail/A 25378-2023.docx", "A 25378-2023")</f>
        <v/>
      </c>
      <c r="X317">
        <f>HYPERLINK("https://klasma.github.io/Logging_2039/tillsyn/A 25378-2023.docx", "A 25378-2023")</f>
        <v/>
      </c>
      <c r="Y317">
        <f>HYPERLINK("https://klasma.github.io/Logging_2039/tillsynsmail/A 25378-2023.docx", "A 25378-2023")</f>
        <v/>
      </c>
    </row>
    <row r="318" ht="15" customHeight="1">
      <c r="A318" t="inlineStr">
        <is>
          <t>A 26587-2023</t>
        </is>
      </c>
      <c r="B318" s="1" t="n">
        <v>45092</v>
      </c>
      <c r="C318" s="1" t="n">
        <v>45210</v>
      </c>
      <c r="D318" t="inlineStr">
        <is>
          <t>DALARNAS LÄN</t>
        </is>
      </c>
      <c r="E318" t="inlineStr">
        <is>
          <t>MORA</t>
        </is>
      </c>
      <c r="G318" t="n">
        <v>2.1</v>
      </c>
      <c r="H318" t="n">
        <v>0</v>
      </c>
      <c r="I318" t="n">
        <v>1</v>
      </c>
      <c r="J318" t="n">
        <v>1</v>
      </c>
      <c r="K318" t="n">
        <v>0</v>
      </c>
      <c r="L318" t="n">
        <v>0</v>
      </c>
      <c r="M318" t="n">
        <v>0</v>
      </c>
      <c r="N318" t="n">
        <v>0</v>
      </c>
      <c r="O318" t="n">
        <v>1</v>
      </c>
      <c r="P318" t="n">
        <v>0</v>
      </c>
      <c r="Q318" t="n">
        <v>2</v>
      </c>
      <c r="R318" s="2" t="inlineStr">
        <is>
          <t>Motaggsvamp
Mindre märgborre</t>
        </is>
      </c>
      <c r="S318">
        <f>HYPERLINK("https://klasma.github.io/Logging_2062/artfynd/A 26587-2023.xlsx", "A 26587-2023")</f>
        <v/>
      </c>
      <c r="T318">
        <f>HYPERLINK("https://klasma.github.io/Logging_2062/kartor/A 26587-2023.png", "A 26587-2023")</f>
        <v/>
      </c>
      <c r="V318">
        <f>HYPERLINK("https://klasma.github.io/Logging_2062/klagomål/A 26587-2023.docx", "A 26587-2023")</f>
        <v/>
      </c>
      <c r="W318">
        <f>HYPERLINK("https://klasma.github.io/Logging_2062/klagomålsmail/A 26587-2023.docx", "A 26587-2023")</f>
        <v/>
      </c>
      <c r="X318">
        <f>HYPERLINK("https://klasma.github.io/Logging_2062/tillsyn/A 26587-2023.docx", "A 26587-2023")</f>
        <v/>
      </c>
      <c r="Y318">
        <f>HYPERLINK("https://klasma.github.io/Logging_2062/tillsynsmail/A 26587-2023.docx", "A 26587-2023")</f>
        <v/>
      </c>
    </row>
    <row r="319" ht="15" customHeight="1">
      <c r="A319" t="inlineStr">
        <is>
          <t>A 31009-2023</t>
        </is>
      </c>
      <c r="B319" s="1" t="n">
        <v>45103</v>
      </c>
      <c r="C319" s="1" t="n">
        <v>45210</v>
      </c>
      <c r="D319" t="inlineStr">
        <is>
          <t>DALARNAS LÄN</t>
        </is>
      </c>
      <c r="E319" t="inlineStr">
        <is>
          <t>AVESTA</t>
        </is>
      </c>
      <c r="F319" t="inlineStr">
        <is>
          <t>Bergvik skog väst AB</t>
        </is>
      </c>
      <c r="G319" t="n">
        <v>46.4</v>
      </c>
      <c r="H319" t="n">
        <v>1</v>
      </c>
      <c r="I319" t="n">
        <v>1</v>
      </c>
      <c r="J319" t="n">
        <v>0</v>
      </c>
      <c r="K319" t="n">
        <v>0</v>
      </c>
      <c r="L319" t="n">
        <v>0</v>
      </c>
      <c r="M319" t="n">
        <v>0</v>
      </c>
      <c r="N319" t="n">
        <v>0</v>
      </c>
      <c r="O319" t="n">
        <v>0</v>
      </c>
      <c r="P319" t="n">
        <v>0</v>
      </c>
      <c r="Q319" t="n">
        <v>2</v>
      </c>
      <c r="R319" s="2" t="inlineStr">
        <is>
          <t>Jättesvampmal
Blåsippa</t>
        </is>
      </c>
      <c r="S319">
        <f>HYPERLINK("https://klasma.github.io/Logging_2084/artfynd/A 31009-2023.xlsx", "A 31009-2023")</f>
        <v/>
      </c>
      <c r="T319">
        <f>HYPERLINK("https://klasma.github.io/Logging_2084/kartor/A 31009-2023.png", "A 31009-2023")</f>
        <v/>
      </c>
      <c r="V319">
        <f>HYPERLINK("https://klasma.github.io/Logging_2084/klagomål/A 31009-2023.docx", "A 31009-2023")</f>
        <v/>
      </c>
      <c r="W319">
        <f>HYPERLINK("https://klasma.github.io/Logging_2084/klagomålsmail/A 31009-2023.docx", "A 31009-2023")</f>
        <v/>
      </c>
      <c r="X319">
        <f>HYPERLINK("https://klasma.github.io/Logging_2084/tillsyn/A 31009-2023.docx", "A 31009-2023")</f>
        <v/>
      </c>
      <c r="Y319">
        <f>HYPERLINK("https://klasma.github.io/Logging_2084/tillsynsmail/A 31009-2023.docx", "A 31009-2023")</f>
        <v/>
      </c>
    </row>
    <row r="320" ht="15" customHeight="1">
      <c r="A320" t="inlineStr">
        <is>
          <t>A 29296-2023</t>
        </is>
      </c>
      <c r="B320" s="1" t="n">
        <v>45105</v>
      </c>
      <c r="C320" s="1" t="n">
        <v>45210</v>
      </c>
      <c r="D320" t="inlineStr">
        <is>
          <t>DALARNAS LÄN</t>
        </is>
      </c>
      <c r="E320" t="inlineStr">
        <is>
          <t>SÄTER</t>
        </is>
      </c>
      <c r="F320" t="inlineStr">
        <is>
          <t>Bergvik skog väst AB</t>
        </is>
      </c>
      <c r="G320" t="n">
        <v>3.7</v>
      </c>
      <c r="H320" t="n">
        <v>0</v>
      </c>
      <c r="I320" t="n">
        <v>2</v>
      </c>
      <c r="J320" t="n">
        <v>0</v>
      </c>
      <c r="K320" t="n">
        <v>0</v>
      </c>
      <c r="L320" t="n">
        <v>0</v>
      </c>
      <c r="M320" t="n">
        <v>0</v>
      </c>
      <c r="N320" t="n">
        <v>0</v>
      </c>
      <c r="O320" t="n">
        <v>0</v>
      </c>
      <c r="P320" t="n">
        <v>0</v>
      </c>
      <c r="Q320" t="n">
        <v>2</v>
      </c>
      <c r="R320" s="2" t="inlineStr">
        <is>
          <t>Gullgröppa
Rödgul trumpetsvamp</t>
        </is>
      </c>
      <c r="S320">
        <f>HYPERLINK("https://klasma.github.io/Logging_2082/artfynd/A 29296-2023.xlsx", "A 29296-2023")</f>
        <v/>
      </c>
      <c r="T320">
        <f>HYPERLINK("https://klasma.github.io/Logging_2082/kartor/A 29296-2023.png", "A 29296-2023")</f>
        <v/>
      </c>
      <c r="V320">
        <f>HYPERLINK("https://klasma.github.io/Logging_2082/klagomål/A 29296-2023.docx", "A 29296-2023")</f>
        <v/>
      </c>
      <c r="W320">
        <f>HYPERLINK("https://klasma.github.io/Logging_2082/klagomålsmail/A 29296-2023.docx", "A 29296-2023")</f>
        <v/>
      </c>
      <c r="X320">
        <f>HYPERLINK("https://klasma.github.io/Logging_2082/tillsyn/A 29296-2023.docx", "A 29296-2023")</f>
        <v/>
      </c>
      <c r="Y320">
        <f>HYPERLINK("https://klasma.github.io/Logging_2082/tillsynsmail/A 29296-2023.docx", "A 29296-2023")</f>
        <v/>
      </c>
    </row>
    <row r="321" ht="15" customHeight="1">
      <c r="A321" t="inlineStr">
        <is>
          <t>A 30278-2023</t>
        </is>
      </c>
      <c r="B321" s="1" t="n">
        <v>45110</v>
      </c>
      <c r="C321" s="1" t="n">
        <v>45210</v>
      </c>
      <c r="D321" t="inlineStr">
        <is>
          <t>DALARNAS LÄN</t>
        </is>
      </c>
      <c r="E321" t="inlineStr">
        <is>
          <t>MORA</t>
        </is>
      </c>
      <c r="G321" t="n">
        <v>16</v>
      </c>
      <c r="H321" t="n">
        <v>0</v>
      </c>
      <c r="I321" t="n">
        <v>1</v>
      </c>
      <c r="J321" t="n">
        <v>0</v>
      </c>
      <c r="K321" t="n">
        <v>1</v>
      </c>
      <c r="L321" t="n">
        <v>0</v>
      </c>
      <c r="M321" t="n">
        <v>0</v>
      </c>
      <c r="N321" t="n">
        <v>0</v>
      </c>
      <c r="O321" t="n">
        <v>1</v>
      </c>
      <c r="P321" t="n">
        <v>1</v>
      </c>
      <c r="Q321" t="n">
        <v>2</v>
      </c>
      <c r="R321" s="2" t="inlineStr">
        <is>
          <t>Tallbarksvartbagge
Mindre märgborre</t>
        </is>
      </c>
      <c r="S321">
        <f>HYPERLINK("https://klasma.github.io/Logging_2062/artfynd/A 30278-2023.xlsx", "A 30278-2023")</f>
        <v/>
      </c>
      <c r="T321">
        <f>HYPERLINK("https://klasma.github.io/Logging_2062/kartor/A 30278-2023.png", "A 30278-2023")</f>
        <v/>
      </c>
      <c r="V321">
        <f>HYPERLINK("https://klasma.github.io/Logging_2062/klagomål/A 30278-2023.docx", "A 30278-2023")</f>
        <v/>
      </c>
      <c r="W321">
        <f>HYPERLINK("https://klasma.github.io/Logging_2062/klagomålsmail/A 30278-2023.docx", "A 30278-2023")</f>
        <v/>
      </c>
      <c r="X321">
        <f>HYPERLINK("https://klasma.github.io/Logging_2062/tillsyn/A 30278-2023.docx", "A 30278-2023")</f>
        <v/>
      </c>
      <c r="Y321">
        <f>HYPERLINK("https://klasma.github.io/Logging_2062/tillsynsmail/A 30278-2023.docx", "A 30278-2023")</f>
        <v/>
      </c>
    </row>
    <row r="322" ht="15" customHeight="1">
      <c r="A322" t="inlineStr">
        <is>
          <t>A 31680-2023</t>
        </is>
      </c>
      <c r="B322" s="1" t="n">
        <v>45117</v>
      </c>
      <c r="C322" s="1" t="n">
        <v>45210</v>
      </c>
      <c r="D322" t="inlineStr">
        <is>
          <t>DALARNAS LÄN</t>
        </is>
      </c>
      <c r="E322" t="inlineStr">
        <is>
          <t>BORLÄNGE</t>
        </is>
      </c>
      <c r="G322" t="n">
        <v>2.8</v>
      </c>
      <c r="H322" t="n">
        <v>1</v>
      </c>
      <c r="I322" t="n">
        <v>1</v>
      </c>
      <c r="J322" t="n">
        <v>0</v>
      </c>
      <c r="K322" t="n">
        <v>0</v>
      </c>
      <c r="L322" t="n">
        <v>0</v>
      </c>
      <c r="M322" t="n">
        <v>0</v>
      </c>
      <c r="N322" t="n">
        <v>0</v>
      </c>
      <c r="O322" t="n">
        <v>0</v>
      </c>
      <c r="P322" t="n">
        <v>0</v>
      </c>
      <c r="Q322" t="n">
        <v>2</v>
      </c>
      <c r="R322" s="2" t="inlineStr">
        <is>
          <t>Vågbandad barkbock
Blåsippa</t>
        </is>
      </c>
      <c r="S322">
        <f>HYPERLINK("https://klasma.github.io/Logging_2081/artfynd/A 31680-2023.xlsx", "A 31680-2023")</f>
        <v/>
      </c>
      <c r="T322">
        <f>HYPERLINK("https://klasma.github.io/Logging_2081/kartor/A 31680-2023.png", "A 31680-2023")</f>
        <v/>
      </c>
      <c r="V322">
        <f>HYPERLINK("https://klasma.github.io/Logging_2081/klagomål/A 31680-2023.docx", "A 31680-2023")</f>
        <v/>
      </c>
      <c r="W322">
        <f>HYPERLINK("https://klasma.github.io/Logging_2081/klagomålsmail/A 31680-2023.docx", "A 31680-2023")</f>
        <v/>
      </c>
      <c r="X322">
        <f>HYPERLINK("https://klasma.github.io/Logging_2081/tillsyn/A 31680-2023.docx", "A 31680-2023")</f>
        <v/>
      </c>
      <c r="Y322">
        <f>HYPERLINK("https://klasma.github.io/Logging_2081/tillsynsmail/A 31680-2023.docx", "A 31680-2023")</f>
        <v/>
      </c>
    </row>
    <row r="323" ht="15" customHeight="1">
      <c r="A323" t="inlineStr">
        <is>
          <t>A 32643-2023</t>
        </is>
      </c>
      <c r="B323" s="1" t="n">
        <v>45121</v>
      </c>
      <c r="C323" s="1" t="n">
        <v>45210</v>
      </c>
      <c r="D323" t="inlineStr">
        <is>
          <t>DALARNAS LÄN</t>
        </is>
      </c>
      <c r="E323" t="inlineStr">
        <is>
          <t>LUDVIKA</t>
        </is>
      </c>
      <c r="F323" t="inlineStr">
        <is>
          <t>Bergvik skog väst AB</t>
        </is>
      </c>
      <c r="G323" t="n">
        <v>12.2</v>
      </c>
      <c r="H323" t="n">
        <v>0</v>
      </c>
      <c r="I323" t="n">
        <v>2</v>
      </c>
      <c r="J323" t="n">
        <v>0</v>
      </c>
      <c r="K323" t="n">
        <v>0</v>
      </c>
      <c r="L323" t="n">
        <v>0</v>
      </c>
      <c r="M323" t="n">
        <v>0</v>
      </c>
      <c r="N323" t="n">
        <v>0</v>
      </c>
      <c r="O323" t="n">
        <v>0</v>
      </c>
      <c r="P323" t="n">
        <v>0</v>
      </c>
      <c r="Q323" t="n">
        <v>2</v>
      </c>
      <c r="R323" s="2" t="inlineStr">
        <is>
          <t>Aprikosfingersvamp
Honungsvaxskivling</t>
        </is>
      </c>
      <c r="S323">
        <f>HYPERLINK("https://klasma.github.io/Logging_2085/artfynd/A 32643-2023.xlsx", "A 32643-2023")</f>
        <v/>
      </c>
      <c r="T323">
        <f>HYPERLINK("https://klasma.github.io/Logging_2085/kartor/A 32643-2023.png", "A 32643-2023")</f>
        <v/>
      </c>
      <c r="V323">
        <f>HYPERLINK("https://klasma.github.io/Logging_2085/klagomål/A 32643-2023.docx", "A 32643-2023")</f>
        <v/>
      </c>
      <c r="W323">
        <f>HYPERLINK("https://klasma.github.io/Logging_2085/klagomålsmail/A 32643-2023.docx", "A 32643-2023")</f>
        <v/>
      </c>
      <c r="X323">
        <f>HYPERLINK("https://klasma.github.io/Logging_2085/tillsyn/A 32643-2023.docx", "A 32643-2023")</f>
        <v/>
      </c>
      <c r="Y323">
        <f>HYPERLINK("https://klasma.github.io/Logging_2085/tillsynsmail/A 32643-2023.docx", "A 32643-2023")</f>
        <v/>
      </c>
    </row>
    <row r="324" ht="15" customHeight="1">
      <c r="A324" t="inlineStr">
        <is>
          <t>A 33216-2023</t>
        </is>
      </c>
      <c r="B324" s="1" t="n">
        <v>45127</v>
      </c>
      <c r="C324" s="1" t="n">
        <v>45210</v>
      </c>
      <c r="D324" t="inlineStr">
        <is>
          <t>DALARNAS LÄN</t>
        </is>
      </c>
      <c r="E324" t="inlineStr">
        <is>
          <t>SMEDJEBACKEN</t>
        </is>
      </c>
      <c r="G324" t="n">
        <v>13.3</v>
      </c>
      <c r="H324" t="n">
        <v>2</v>
      </c>
      <c r="I324" t="n">
        <v>0</v>
      </c>
      <c r="J324" t="n">
        <v>2</v>
      </c>
      <c r="K324" t="n">
        <v>0</v>
      </c>
      <c r="L324" t="n">
        <v>0</v>
      </c>
      <c r="M324" t="n">
        <v>0</v>
      </c>
      <c r="N324" t="n">
        <v>0</v>
      </c>
      <c r="O324" t="n">
        <v>2</v>
      </c>
      <c r="P324" t="n">
        <v>0</v>
      </c>
      <c r="Q324" t="n">
        <v>2</v>
      </c>
      <c r="R324" s="2" t="inlineStr">
        <is>
          <t>Brunlångöra
Spillkråka</t>
        </is>
      </c>
      <c r="S324">
        <f>HYPERLINK("https://klasma.github.io/Logging_2061/artfynd/A 33216-2023.xlsx", "A 33216-2023")</f>
        <v/>
      </c>
      <c r="T324">
        <f>HYPERLINK("https://klasma.github.io/Logging_2061/kartor/A 33216-2023.png", "A 33216-2023")</f>
        <v/>
      </c>
      <c r="V324">
        <f>HYPERLINK("https://klasma.github.io/Logging_2061/klagomål/A 33216-2023.docx", "A 33216-2023")</f>
        <v/>
      </c>
      <c r="W324">
        <f>HYPERLINK("https://klasma.github.io/Logging_2061/klagomålsmail/A 33216-2023.docx", "A 33216-2023")</f>
        <v/>
      </c>
      <c r="X324">
        <f>HYPERLINK("https://klasma.github.io/Logging_2061/tillsyn/A 33216-2023.docx", "A 33216-2023")</f>
        <v/>
      </c>
      <c r="Y324">
        <f>HYPERLINK("https://klasma.github.io/Logging_2061/tillsynsmail/A 33216-2023.docx", "A 33216-2023")</f>
        <v/>
      </c>
    </row>
    <row r="325" ht="15" customHeight="1">
      <c r="A325" t="inlineStr">
        <is>
          <t>A 35184-2023</t>
        </is>
      </c>
      <c r="B325" s="1" t="n">
        <v>45145</v>
      </c>
      <c r="C325" s="1" t="n">
        <v>45210</v>
      </c>
      <c r="D325" t="inlineStr">
        <is>
          <t>DALARNAS LÄN</t>
        </is>
      </c>
      <c r="E325" t="inlineStr">
        <is>
          <t>ÄLVDALEN</t>
        </is>
      </c>
      <c r="F325" t="inlineStr">
        <is>
          <t>Sveaskog</t>
        </is>
      </c>
      <c r="G325" t="n">
        <v>1.7</v>
      </c>
      <c r="H325" t="n">
        <v>0</v>
      </c>
      <c r="I325" t="n">
        <v>0</v>
      </c>
      <c r="J325" t="n">
        <v>2</v>
      </c>
      <c r="K325" t="n">
        <v>0</v>
      </c>
      <c r="L325" t="n">
        <v>0</v>
      </c>
      <c r="M325" t="n">
        <v>0</v>
      </c>
      <c r="N325" t="n">
        <v>0</v>
      </c>
      <c r="O325" t="n">
        <v>2</v>
      </c>
      <c r="P325" t="n">
        <v>0</v>
      </c>
      <c r="Q325" t="n">
        <v>2</v>
      </c>
      <c r="R325" s="2" t="inlineStr">
        <is>
          <t>Blanksvart spiklav
Kolflarnlav</t>
        </is>
      </c>
      <c r="S325">
        <f>HYPERLINK("https://klasma.github.io/Logging_2039/artfynd/A 35184-2023.xlsx", "A 35184-2023")</f>
        <v/>
      </c>
      <c r="T325">
        <f>HYPERLINK("https://klasma.github.io/Logging_2039/kartor/A 35184-2023.png", "A 35184-2023")</f>
        <v/>
      </c>
      <c r="V325">
        <f>HYPERLINK("https://klasma.github.io/Logging_2039/klagomål/A 35184-2023.docx", "A 35184-2023")</f>
        <v/>
      </c>
      <c r="W325">
        <f>HYPERLINK("https://klasma.github.io/Logging_2039/klagomålsmail/A 35184-2023.docx", "A 35184-2023")</f>
        <v/>
      </c>
      <c r="X325">
        <f>HYPERLINK("https://klasma.github.io/Logging_2039/tillsyn/A 35184-2023.docx", "A 35184-2023")</f>
        <v/>
      </c>
      <c r="Y325">
        <f>HYPERLINK("https://klasma.github.io/Logging_2039/tillsynsmail/A 35184-2023.docx", "A 35184-2023")</f>
        <v/>
      </c>
    </row>
    <row r="326" ht="15" customHeight="1">
      <c r="A326" t="inlineStr">
        <is>
          <t>A 35329-2023</t>
        </is>
      </c>
      <c r="B326" s="1" t="n">
        <v>45146</v>
      </c>
      <c r="C326" s="1" t="n">
        <v>45210</v>
      </c>
      <c r="D326" t="inlineStr">
        <is>
          <t>DALARNAS LÄN</t>
        </is>
      </c>
      <c r="E326" t="inlineStr">
        <is>
          <t>MALUNG-SÄLEN</t>
        </is>
      </c>
      <c r="F326" t="inlineStr">
        <is>
          <t>Allmännings- och besparingsskogar</t>
        </is>
      </c>
      <c r="G326" t="n">
        <v>3.8</v>
      </c>
      <c r="H326" t="n">
        <v>0</v>
      </c>
      <c r="I326" t="n">
        <v>0</v>
      </c>
      <c r="J326" t="n">
        <v>2</v>
      </c>
      <c r="K326" t="n">
        <v>0</v>
      </c>
      <c r="L326" t="n">
        <v>0</v>
      </c>
      <c r="M326" t="n">
        <v>0</v>
      </c>
      <c r="N326" t="n">
        <v>0</v>
      </c>
      <c r="O326" t="n">
        <v>2</v>
      </c>
      <c r="P326" t="n">
        <v>0</v>
      </c>
      <c r="Q326" t="n">
        <v>2</v>
      </c>
      <c r="R326" s="2" t="inlineStr">
        <is>
          <t>Kolflarnlav
Vedskivlav</t>
        </is>
      </c>
      <c r="S326">
        <f>HYPERLINK("https://klasma.github.io/Logging_2023/artfynd/A 35329-2023.xlsx", "A 35329-2023")</f>
        <v/>
      </c>
      <c r="T326">
        <f>HYPERLINK("https://klasma.github.io/Logging_2023/kartor/A 35329-2023.png", "A 35329-2023")</f>
        <v/>
      </c>
      <c r="V326">
        <f>HYPERLINK("https://klasma.github.io/Logging_2023/klagomål/A 35329-2023.docx", "A 35329-2023")</f>
        <v/>
      </c>
      <c r="W326">
        <f>HYPERLINK("https://klasma.github.io/Logging_2023/klagomålsmail/A 35329-2023.docx", "A 35329-2023")</f>
        <v/>
      </c>
      <c r="X326">
        <f>HYPERLINK("https://klasma.github.io/Logging_2023/tillsyn/A 35329-2023.docx", "A 35329-2023")</f>
        <v/>
      </c>
      <c r="Y326">
        <f>HYPERLINK("https://klasma.github.io/Logging_2023/tillsynsmail/A 35329-2023.docx", "A 35329-2023")</f>
        <v/>
      </c>
    </row>
    <row r="327" ht="15" customHeight="1">
      <c r="A327" t="inlineStr">
        <is>
          <t>A 37664-2023</t>
        </is>
      </c>
      <c r="B327" s="1" t="n">
        <v>45159</v>
      </c>
      <c r="C327" s="1" t="n">
        <v>45210</v>
      </c>
      <c r="D327" t="inlineStr">
        <is>
          <t>DALARNAS LÄN</t>
        </is>
      </c>
      <c r="E327" t="inlineStr">
        <is>
          <t>ÄLVDALEN</t>
        </is>
      </c>
      <c r="F327" t="inlineStr">
        <is>
          <t>Allmännings- och besparingsskogar</t>
        </is>
      </c>
      <c r="G327" t="n">
        <v>0.6</v>
      </c>
      <c r="H327" t="n">
        <v>0</v>
      </c>
      <c r="I327" t="n">
        <v>1</v>
      </c>
      <c r="J327" t="n">
        <v>1</v>
      </c>
      <c r="K327" t="n">
        <v>0</v>
      </c>
      <c r="L327" t="n">
        <v>0</v>
      </c>
      <c r="M327" t="n">
        <v>0</v>
      </c>
      <c r="N327" t="n">
        <v>0</v>
      </c>
      <c r="O327" t="n">
        <v>1</v>
      </c>
      <c r="P327" t="n">
        <v>0</v>
      </c>
      <c r="Q327" t="n">
        <v>2</v>
      </c>
      <c r="R327" s="2" t="inlineStr">
        <is>
          <t>Vaddporing
Mindre märgborre</t>
        </is>
      </c>
      <c r="S327">
        <f>HYPERLINK("https://klasma.github.io/Logging_2039/artfynd/A 37664-2023.xlsx", "A 37664-2023")</f>
        <v/>
      </c>
      <c r="T327">
        <f>HYPERLINK("https://klasma.github.io/Logging_2039/kartor/A 37664-2023.png", "A 37664-2023")</f>
        <v/>
      </c>
      <c r="V327">
        <f>HYPERLINK("https://klasma.github.io/Logging_2039/klagomål/A 37664-2023.docx", "A 37664-2023")</f>
        <v/>
      </c>
      <c r="W327">
        <f>HYPERLINK("https://klasma.github.io/Logging_2039/klagomålsmail/A 37664-2023.docx", "A 37664-2023")</f>
        <v/>
      </c>
      <c r="X327">
        <f>HYPERLINK("https://klasma.github.io/Logging_2039/tillsyn/A 37664-2023.docx", "A 37664-2023")</f>
        <v/>
      </c>
      <c r="Y327">
        <f>HYPERLINK("https://klasma.github.io/Logging_2039/tillsynsmail/A 37664-2023.docx", "A 37664-2023")</f>
        <v/>
      </c>
    </row>
    <row r="328" ht="15" customHeight="1">
      <c r="A328" t="inlineStr">
        <is>
          <t>A 34447-2018</t>
        </is>
      </c>
      <c r="B328" s="1" t="n">
        <v>43319</v>
      </c>
      <c r="C328" s="1" t="n">
        <v>45210</v>
      </c>
      <c r="D328" t="inlineStr">
        <is>
          <t>DALARNAS LÄN</t>
        </is>
      </c>
      <c r="E328" t="inlineStr">
        <is>
          <t>ORSA</t>
        </is>
      </c>
      <c r="F328" t="inlineStr">
        <is>
          <t>Allmännings- och besparingsskogar</t>
        </is>
      </c>
      <c r="G328" t="n">
        <v>3.7</v>
      </c>
      <c r="H328" t="n">
        <v>0</v>
      </c>
      <c r="I328" t="n">
        <v>0</v>
      </c>
      <c r="J328" t="n">
        <v>1</v>
      </c>
      <c r="K328" t="n">
        <v>0</v>
      </c>
      <c r="L328" t="n">
        <v>0</v>
      </c>
      <c r="M328" t="n">
        <v>0</v>
      </c>
      <c r="N328" t="n">
        <v>0</v>
      </c>
      <c r="O328" t="n">
        <v>1</v>
      </c>
      <c r="P328" t="n">
        <v>0</v>
      </c>
      <c r="Q328" t="n">
        <v>1</v>
      </c>
      <c r="R328" s="2" t="inlineStr">
        <is>
          <t>Garnlav</t>
        </is>
      </c>
      <c r="S328">
        <f>HYPERLINK("https://klasma.github.io/Logging_2034/artfynd/A 34447-2018.xlsx", "A 34447-2018")</f>
        <v/>
      </c>
      <c r="T328">
        <f>HYPERLINK("https://klasma.github.io/Logging_2034/kartor/A 34447-2018.png", "A 34447-2018")</f>
        <v/>
      </c>
      <c r="V328">
        <f>HYPERLINK("https://klasma.github.io/Logging_2034/klagomål/A 34447-2018.docx", "A 34447-2018")</f>
        <v/>
      </c>
      <c r="W328">
        <f>HYPERLINK("https://klasma.github.io/Logging_2034/klagomålsmail/A 34447-2018.docx", "A 34447-2018")</f>
        <v/>
      </c>
      <c r="X328">
        <f>HYPERLINK("https://klasma.github.io/Logging_2034/tillsyn/A 34447-2018.docx", "A 34447-2018")</f>
        <v/>
      </c>
      <c r="Y328">
        <f>HYPERLINK("https://klasma.github.io/Logging_2034/tillsynsmail/A 34447-2018.docx", "A 34447-2018")</f>
        <v/>
      </c>
    </row>
    <row r="329" ht="15" customHeight="1">
      <c r="A329" t="inlineStr">
        <is>
          <t>A 47561-2018</t>
        </is>
      </c>
      <c r="B329" s="1" t="n">
        <v>43370</v>
      </c>
      <c r="C329" s="1" t="n">
        <v>45210</v>
      </c>
      <c r="D329" t="inlineStr">
        <is>
          <t>DALARNAS LÄN</t>
        </is>
      </c>
      <c r="E329" t="inlineStr">
        <is>
          <t>MALUNG-SÄLEN</t>
        </is>
      </c>
      <c r="G329" t="n">
        <v>2.7</v>
      </c>
      <c r="H329" t="n">
        <v>0</v>
      </c>
      <c r="I329" t="n">
        <v>0</v>
      </c>
      <c r="J329" t="n">
        <v>1</v>
      </c>
      <c r="K329" t="n">
        <v>0</v>
      </c>
      <c r="L329" t="n">
        <v>0</v>
      </c>
      <c r="M329" t="n">
        <v>0</v>
      </c>
      <c r="N329" t="n">
        <v>0</v>
      </c>
      <c r="O329" t="n">
        <v>1</v>
      </c>
      <c r="P329" t="n">
        <v>0</v>
      </c>
      <c r="Q329" t="n">
        <v>1</v>
      </c>
      <c r="R329" s="2" t="inlineStr">
        <is>
          <t>Gammelgransskål</t>
        </is>
      </c>
      <c r="S329">
        <f>HYPERLINK("https://klasma.github.io/Logging_2023/artfynd/A 47561-2018.xlsx", "A 47561-2018")</f>
        <v/>
      </c>
      <c r="T329">
        <f>HYPERLINK("https://klasma.github.io/Logging_2023/kartor/A 47561-2018.png", "A 47561-2018")</f>
        <v/>
      </c>
      <c r="V329">
        <f>HYPERLINK("https://klasma.github.io/Logging_2023/klagomål/A 47561-2018.docx", "A 47561-2018")</f>
        <v/>
      </c>
      <c r="W329">
        <f>HYPERLINK("https://klasma.github.io/Logging_2023/klagomålsmail/A 47561-2018.docx", "A 47561-2018")</f>
        <v/>
      </c>
      <c r="X329">
        <f>HYPERLINK("https://klasma.github.io/Logging_2023/tillsyn/A 47561-2018.docx", "A 47561-2018")</f>
        <v/>
      </c>
      <c r="Y329">
        <f>HYPERLINK("https://klasma.github.io/Logging_2023/tillsynsmail/A 47561-2018.docx", "A 47561-2018")</f>
        <v/>
      </c>
    </row>
    <row r="330" ht="15" customHeight="1">
      <c r="A330" t="inlineStr">
        <is>
          <t>A 59527-2018</t>
        </is>
      </c>
      <c r="B330" s="1" t="n">
        <v>43371</v>
      </c>
      <c r="C330" s="1" t="n">
        <v>45210</v>
      </c>
      <c r="D330" t="inlineStr">
        <is>
          <t>DALARNAS LÄN</t>
        </is>
      </c>
      <c r="E330" t="inlineStr">
        <is>
          <t>MORA</t>
        </is>
      </c>
      <c r="F330" t="inlineStr">
        <is>
          <t>Bergvik skog öst AB</t>
        </is>
      </c>
      <c r="G330" t="n">
        <v>2.9</v>
      </c>
      <c r="H330" t="n">
        <v>0</v>
      </c>
      <c r="I330" t="n">
        <v>0</v>
      </c>
      <c r="J330" t="n">
        <v>1</v>
      </c>
      <c r="K330" t="n">
        <v>0</v>
      </c>
      <c r="L330" t="n">
        <v>0</v>
      </c>
      <c r="M330" t="n">
        <v>0</v>
      </c>
      <c r="N330" t="n">
        <v>0</v>
      </c>
      <c r="O330" t="n">
        <v>1</v>
      </c>
      <c r="P330" t="n">
        <v>0</v>
      </c>
      <c r="Q330" t="n">
        <v>1</v>
      </c>
      <c r="R330" s="2" t="inlineStr">
        <is>
          <t>Garnlav</t>
        </is>
      </c>
      <c r="S330">
        <f>HYPERLINK("https://klasma.github.io/Logging_2062/artfynd/A 59527-2018.xlsx", "A 59527-2018")</f>
        <v/>
      </c>
      <c r="T330">
        <f>HYPERLINK("https://klasma.github.io/Logging_2062/kartor/A 59527-2018.png", "A 59527-2018")</f>
        <v/>
      </c>
      <c r="V330">
        <f>HYPERLINK("https://klasma.github.io/Logging_2062/klagomål/A 59527-2018.docx", "A 59527-2018")</f>
        <v/>
      </c>
      <c r="W330">
        <f>HYPERLINK("https://klasma.github.io/Logging_2062/klagomålsmail/A 59527-2018.docx", "A 59527-2018")</f>
        <v/>
      </c>
      <c r="X330">
        <f>HYPERLINK("https://klasma.github.io/Logging_2062/tillsyn/A 59527-2018.docx", "A 59527-2018")</f>
        <v/>
      </c>
      <c r="Y330">
        <f>HYPERLINK("https://klasma.github.io/Logging_2062/tillsynsmail/A 59527-2018.docx", "A 59527-2018")</f>
        <v/>
      </c>
    </row>
    <row r="331" ht="15" customHeight="1">
      <c r="A331" t="inlineStr">
        <is>
          <t>A 49606-2018</t>
        </is>
      </c>
      <c r="B331" s="1" t="n">
        <v>43376</v>
      </c>
      <c r="C331" s="1" t="n">
        <v>45210</v>
      </c>
      <c r="D331" t="inlineStr">
        <is>
          <t>DALARNAS LÄN</t>
        </is>
      </c>
      <c r="E331" t="inlineStr">
        <is>
          <t>MALUNG-SÄLEN</t>
        </is>
      </c>
      <c r="G331" t="n">
        <v>0.4</v>
      </c>
      <c r="H331" t="n">
        <v>0</v>
      </c>
      <c r="I331" t="n">
        <v>0</v>
      </c>
      <c r="J331" t="n">
        <v>1</v>
      </c>
      <c r="K331" t="n">
        <v>0</v>
      </c>
      <c r="L331" t="n">
        <v>0</v>
      </c>
      <c r="M331" t="n">
        <v>0</v>
      </c>
      <c r="N331" t="n">
        <v>0</v>
      </c>
      <c r="O331" t="n">
        <v>1</v>
      </c>
      <c r="P331" t="n">
        <v>0</v>
      </c>
      <c r="Q331" t="n">
        <v>1</v>
      </c>
      <c r="R331" s="2" t="inlineStr">
        <is>
          <t>Grantaggsvamp</t>
        </is>
      </c>
      <c r="S331">
        <f>HYPERLINK("https://klasma.github.io/Logging_2023/artfynd/A 49606-2018.xlsx", "A 49606-2018")</f>
        <v/>
      </c>
      <c r="T331">
        <f>HYPERLINK("https://klasma.github.io/Logging_2023/kartor/A 49606-2018.png", "A 49606-2018")</f>
        <v/>
      </c>
      <c r="V331">
        <f>HYPERLINK("https://klasma.github.io/Logging_2023/klagomål/A 49606-2018.docx", "A 49606-2018")</f>
        <v/>
      </c>
      <c r="W331">
        <f>HYPERLINK("https://klasma.github.io/Logging_2023/klagomålsmail/A 49606-2018.docx", "A 49606-2018")</f>
        <v/>
      </c>
      <c r="X331">
        <f>HYPERLINK("https://klasma.github.io/Logging_2023/tillsyn/A 49606-2018.docx", "A 49606-2018")</f>
        <v/>
      </c>
      <c r="Y331">
        <f>HYPERLINK("https://klasma.github.io/Logging_2023/tillsynsmail/A 49606-2018.docx", "A 49606-2018")</f>
        <v/>
      </c>
    </row>
    <row r="332" ht="15" customHeight="1">
      <c r="A332" t="inlineStr">
        <is>
          <t>A 72666-2018</t>
        </is>
      </c>
      <c r="B332" s="1" t="n">
        <v>43389</v>
      </c>
      <c r="C332" s="1" t="n">
        <v>45210</v>
      </c>
      <c r="D332" t="inlineStr">
        <is>
          <t>DALARNAS LÄN</t>
        </is>
      </c>
      <c r="E332" t="inlineStr">
        <is>
          <t>LUDVIKA</t>
        </is>
      </c>
      <c r="F332" t="inlineStr">
        <is>
          <t>Bergvik skog väst AB</t>
        </is>
      </c>
      <c r="G332" t="n">
        <v>16.2</v>
      </c>
      <c r="H332" t="n">
        <v>0</v>
      </c>
      <c r="I332" t="n">
        <v>0</v>
      </c>
      <c r="J332" t="n">
        <v>1</v>
      </c>
      <c r="K332" t="n">
        <v>0</v>
      </c>
      <c r="L332" t="n">
        <v>0</v>
      </c>
      <c r="M332" t="n">
        <v>0</v>
      </c>
      <c r="N332" t="n">
        <v>0</v>
      </c>
      <c r="O332" t="n">
        <v>1</v>
      </c>
      <c r="P332" t="n">
        <v>0</v>
      </c>
      <c r="Q332" t="n">
        <v>1</v>
      </c>
      <c r="R332" s="2" t="inlineStr">
        <is>
          <t>Garnlav</t>
        </is>
      </c>
      <c r="S332">
        <f>HYPERLINK("https://klasma.github.io/Logging_2085/artfynd/A 72666-2018.xlsx", "A 72666-2018")</f>
        <v/>
      </c>
      <c r="T332">
        <f>HYPERLINK("https://klasma.github.io/Logging_2085/kartor/A 72666-2018.png", "A 72666-2018")</f>
        <v/>
      </c>
      <c r="V332">
        <f>HYPERLINK("https://klasma.github.io/Logging_2085/klagomål/A 72666-2018.docx", "A 72666-2018")</f>
        <v/>
      </c>
      <c r="W332">
        <f>HYPERLINK("https://klasma.github.io/Logging_2085/klagomålsmail/A 72666-2018.docx", "A 72666-2018")</f>
        <v/>
      </c>
      <c r="X332">
        <f>HYPERLINK("https://klasma.github.io/Logging_2085/tillsyn/A 72666-2018.docx", "A 72666-2018")</f>
        <v/>
      </c>
      <c r="Y332">
        <f>HYPERLINK("https://klasma.github.io/Logging_2085/tillsynsmail/A 72666-2018.docx", "A 72666-2018")</f>
        <v/>
      </c>
    </row>
    <row r="333" ht="15" customHeight="1">
      <c r="A333" t="inlineStr">
        <is>
          <t>A 58237-2018</t>
        </is>
      </c>
      <c r="B333" s="1" t="n">
        <v>43406</v>
      </c>
      <c r="C333" s="1" t="n">
        <v>45210</v>
      </c>
      <c r="D333" t="inlineStr">
        <is>
          <t>DALARNAS LÄN</t>
        </is>
      </c>
      <c r="E333" t="inlineStr">
        <is>
          <t>ÄLVDALEN</t>
        </is>
      </c>
      <c r="F333" t="inlineStr">
        <is>
          <t>Övriga statliga verk och myndigheter</t>
        </is>
      </c>
      <c r="G333" t="n">
        <v>84</v>
      </c>
      <c r="H333" t="n">
        <v>0</v>
      </c>
      <c r="I333" t="n">
        <v>0</v>
      </c>
      <c r="J333" t="n">
        <v>1</v>
      </c>
      <c r="K333" t="n">
        <v>0</v>
      </c>
      <c r="L333" t="n">
        <v>0</v>
      </c>
      <c r="M333" t="n">
        <v>0</v>
      </c>
      <c r="N333" t="n">
        <v>0</v>
      </c>
      <c r="O333" t="n">
        <v>1</v>
      </c>
      <c r="P333" t="n">
        <v>0</v>
      </c>
      <c r="Q333" t="n">
        <v>1</v>
      </c>
      <c r="R333" s="2" t="inlineStr">
        <is>
          <t>Månlåsbräken</t>
        </is>
      </c>
      <c r="S333">
        <f>HYPERLINK("https://klasma.github.io/Logging_2039/artfynd/A 58237-2018.xlsx", "A 58237-2018")</f>
        <v/>
      </c>
      <c r="T333">
        <f>HYPERLINK("https://klasma.github.io/Logging_2039/kartor/A 58237-2018.png", "A 58237-2018")</f>
        <v/>
      </c>
      <c r="V333">
        <f>HYPERLINK("https://klasma.github.io/Logging_2039/klagomål/A 58237-2018.docx", "A 58237-2018")</f>
        <v/>
      </c>
      <c r="W333">
        <f>HYPERLINK("https://klasma.github.io/Logging_2039/klagomålsmail/A 58237-2018.docx", "A 58237-2018")</f>
        <v/>
      </c>
      <c r="X333">
        <f>HYPERLINK("https://klasma.github.io/Logging_2039/tillsyn/A 58237-2018.docx", "A 58237-2018")</f>
        <v/>
      </c>
      <c r="Y333">
        <f>HYPERLINK("https://klasma.github.io/Logging_2039/tillsynsmail/A 58237-2018.docx", "A 58237-2018")</f>
        <v/>
      </c>
    </row>
    <row r="334" ht="15" customHeight="1">
      <c r="A334" t="inlineStr">
        <is>
          <t>A 58399-2018</t>
        </is>
      </c>
      <c r="B334" s="1" t="n">
        <v>43409</v>
      </c>
      <c r="C334" s="1" t="n">
        <v>45210</v>
      </c>
      <c r="D334" t="inlineStr">
        <is>
          <t>DALARNAS LÄN</t>
        </is>
      </c>
      <c r="E334" t="inlineStr">
        <is>
          <t>BORLÄNGE</t>
        </is>
      </c>
      <c r="G334" t="n">
        <v>5.8</v>
      </c>
      <c r="H334" t="n">
        <v>0</v>
      </c>
      <c r="I334" t="n">
        <v>1</v>
      </c>
      <c r="J334" t="n">
        <v>0</v>
      </c>
      <c r="K334" t="n">
        <v>0</v>
      </c>
      <c r="L334" t="n">
        <v>0</v>
      </c>
      <c r="M334" t="n">
        <v>0</v>
      </c>
      <c r="N334" t="n">
        <v>0</v>
      </c>
      <c r="O334" t="n">
        <v>0</v>
      </c>
      <c r="P334" t="n">
        <v>0</v>
      </c>
      <c r="Q334" t="n">
        <v>1</v>
      </c>
      <c r="R334" s="2" t="inlineStr">
        <is>
          <t>Skarp dropptaggsvamp</t>
        </is>
      </c>
      <c r="S334">
        <f>HYPERLINK("https://klasma.github.io/Logging_2081/artfynd/A 58399-2018.xlsx", "A 58399-2018")</f>
        <v/>
      </c>
      <c r="T334">
        <f>HYPERLINK("https://klasma.github.io/Logging_2081/kartor/A 58399-2018.png", "A 58399-2018")</f>
        <v/>
      </c>
      <c r="V334">
        <f>HYPERLINK("https://klasma.github.io/Logging_2081/klagomål/A 58399-2018.docx", "A 58399-2018")</f>
        <v/>
      </c>
      <c r="W334">
        <f>HYPERLINK("https://klasma.github.io/Logging_2081/klagomålsmail/A 58399-2018.docx", "A 58399-2018")</f>
        <v/>
      </c>
      <c r="X334">
        <f>HYPERLINK("https://klasma.github.io/Logging_2081/tillsyn/A 58399-2018.docx", "A 58399-2018")</f>
        <v/>
      </c>
      <c r="Y334">
        <f>HYPERLINK("https://klasma.github.io/Logging_2081/tillsynsmail/A 58399-2018.docx", "A 58399-2018")</f>
        <v/>
      </c>
    </row>
    <row r="335" ht="15" customHeight="1">
      <c r="A335" t="inlineStr">
        <is>
          <t>A 66079-2018</t>
        </is>
      </c>
      <c r="B335" s="1" t="n">
        <v>43434</v>
      </c>
      <c r="C335" s="1" t="n">
        <v>45210</v>
      </c>
      <c r="D335" t="inlineStr">
        <is>
          <t>DALARNAS LÄN</t>
        </is>
      </c>
      <c r="E335" t="inlineStr">
        <is>
          <t>BORLÄNGE</t>
        </is>
      </c>
      <c r="G335" t="n">
        <v>1</v>
      </c>
      <c r="H335" t="n">
        <v>0</v>
      </c>
      <c r="I335" t="n">
        <v>1</v>
      </c>
      <c r="J335" t="n">
        <v>0</v>
      </c>
      <c r="K335" t="n">
        <v>0</v>
      </c>
      <c r="L335" t="n">
        <v>0</v>
      </c>
      <c r="M335" t="n">
        <v>0</v>
      </c>
      <c r="N335" t="n">
        <v>0</v>
      </c>
      <c r="O335" t="n">
        <v>0</v>
      </c>
      <c r="P335" t="n">
        <v>0</v>
      </c>
      <c r="Q335" t="n">
        <v>1</v>
      </c>
      <c r="R335" s="2" t="inlineStr">
        <is>
          <t>Dropptaggsvamp</t>
        </is>
      </c>
      <c r="S335">
        <f>HYPERLINK("https://klasma.github.io/Logging_2081/artfynd/A 66079-2018.xlsx", "A 66079-2018")</f>
        <v/>
      </c>
      <c r="T335">
        <f>HYPERLINK("https://klasma.github.io/Logging_2081/kartor/A 66079-2018.png", "A 66079-2018")</f>
        <v/>
      </c>
      <c r="V335">
        <f>HYPERLINK("https://klasma.github.io/Logging_2081/klagomål/A 66079-2018.docx", "A 66079-2018")</f>
        <v/>
      </c>
      <c r="W335">
        <f>HYPERLINK("https://klasma.github.io/Logging_2081/klagomålsmail/A 66079-2018.docx", "A 66079-2018")</f>
        <v/>
      </c>
      <c r="X335">
        <f>HYPERLINK("https://klasma.github.io/Logging_2081/tillsyn/A 66079-2018.docx", "A 66079-2018")</f>
        <v/>
      </c>
      <c r="Y335">
        <f>HYPERLINK("https://klasma.github.io/Logging_2081/tillsynsmail/A 66079-2018.docx", "A 66079-2018")</f>
        <v/>
      </c>
    </row>
    <row r="336" ht="15" customHeight="1">
      <c r="A336" t="inlineStr">
        <is>
          <t>A 66537-2018</t>
        </is>
      </c>
      <c r="B336" s="1" t="n">
        <v>43437</v>
      </c>
      <c r="C336" s="1" t="n">
        <v>45210</v>
      </c>
      <c r="D336" t="inlineStr">
        <is>
          <t>DALARNAS LÄN</t>
        </is>
      </c>
      <c r="E336" t="inlineStr">
        <is>
          <t>ÄLVDALEN</t>
        </is>
      </c>
      <c r="F336" t="inlineStr">
        <is>
          <t>Allmännings- och besparingsskogar</t>
        </is>
      </c>
      <c r="G336" t="n">
        <v>57.4</v>
      </c>
      <c r="H336" t="n">
        <v>1</v>
      </c>
      <c r="I336" t="n">
        <v>0</v>
      </c>
      <c r="J336" t="n">
        <v>1</v>
      </c>
      <c r="K336" t="n">
        <v>0</v>
      </c>
      <c r="L336" t="n">
        <v>0</v>
      </c>
      <c r="M336" t="n">
        <v>0</v>
      </c>
      <c r="N336" t="n">
        <v>0</v>
      </c>
      <c r="O336" t="n">
        <v>1</v>
      </c>
      <c r="P336" t="n">
        <v>0</v>
      </c>
      <c r="Q336" t="n">
        <v>1</v>
      </c>
      <c r="R336" s="2" t="inlineStr">
        <is>
          <t>Nordfladdermus</t>
        </is>
      </c>
      <c r="S336">
        <f>HYPERLINK("https://klasma.github.io/Logging_2039/artfynd/A 66537-2018.xlsx", "A 66537-2018")</f>
        <v/>
      </c>
      <c r="T336">
        <f>HYPERLINK("https://klasma.github.io/Logging_2039/kartor/A 66537-2018.png", "A 66537-2018")</f>
        <v/>
      </c>
      <c r="V336">
        <f>HYPERLINK("https://klasma.github.io/Logging_2039/klagomål/A 66537-2018.docx", "A 66537-2018")</f>
        <v/>
      </c>
      <c r="W336">
        <f>HYPERLINK("https://klasma.github.io/Logging_2039/klagomålsmail/A 66537-2018.docx", "A 66537-2018")</f>
        <v/>
      </c>
      <c r="X336">
        <f>HYPERLINK("https://klasma.github.io/Logging_2039/tillsyn/A 66537-2018.docx", "A 66537-2018")</f>
        <v/>
      </c>
      <c r="Y336">
        <f>HYPERLINK("https://klasma.github.io/Logging_2039/tillsynsmail/A 66537-2018.docx", "A 66537-2018")</f>
        <v/>
      </c>
    </row>
    <row r="337" ht="15" customHeight="1">
      <c r="A337" t="inlineStr">
        <is>
          <t>A 67943-2018</t>
        </is>
      </c>
      <c r="B337" s="1" t="n">
        <v>43440</v>
      </c>
      <c r="C337" s="1" t="n">
        <v>45210</v>
      </c>
      <c r="D337" t="inlineStr">
        <is>
          <t>DALARNAS LÄN</t>
        </is>
      </c>
      <c r="E337" t="inlineStr">
        <is>
          <t>RÄTTVIK</t>
        </is>
      </c>
      <c r="G337" t="n">
        <v>8.699999999999999</v>
      </c>
      <c r="H337" t="n">
        <v>1</v>
      </c>
      <c r="I337" t="n">
        <v>0</v>
      </c>
      <c r="J337" t="n">
        <v>0</v>
      </c>
      <c r="K337" t="n">
        <v>0</v>
      </c>
      <c r="L337" t="n">
        <v>0</v>
      </c>
      <c r="M337" t="n">
        <v>0</v>
      </c>
      <c r="N337" t="n">
        <v>0</v>
      </c>
      <c r="O337" t="n">
        <v>0</v>
      </c>
      <c r="P337" t="n">
        <v>0</v>
      </c>
      <c r="Q337" t="n">
        <v>1</v>
      </c>
      <c r="R337" s="2" t="inlineStr">
        <is>
          <t>Gullviva</t>
        </is>
      </c>
      <c r="S337">
        <f>HYPERLINK("https://klasma.github.io/Logging_2031/artfynd/A 67943-2018.xlsx", "A 67943-2018")</f>
        <v/>
      </c>
      <c r="T337">
        <f>HYPERLINK("https://klasma.github.io/Logging_2031/kartor/A 67943-2018.png", "A 67943-2018")</f>
        <v/>
      </c>
      <c r="V337">
        <f>HYPERLINK("https://klasma.github.io/Logging_2031/klagomål/A 67943-2018.docx", "A 67943-2018")</f>
        <v/>
      </c>
      <c r="W337">
        <f>HYPERLINK("https://klasma.github.io/Logging_2031/klagomålsmail/A 67943-2018.docx", "A 67943-2018")</f>
        <v/>
      </c>
      <c r="X337">
        <f>HYPERLINK("https://klasma.github.io/Logging_2031/tillsyn/A 67943-2018.docx", "A 67943-2018")</f>
        <v/>
      </c>
      <c r="Y337">
        <f>HYPERLINK("https://klasma.github.io/Logging_2031/tillsynsmail/A 67943-2018.docx", "A 67943-2018")</f>
        <v/>
      </c>
    </row>
    <row r="338" ht="15" customHeight="1">
      <c r="A338" t="inlineStr">
        <is>
          <t>A 68272-2018</t>
        </is>
      </c>
      <c r="B338" s="1" t="n">
        <v>43441</v>
      </c>
      <c r="C338" s="1" t="n">
        <v>45210</v>
      </c>
      <c r="D338" t="inlineStr">
        <is>
          <t>DALARNAS LÄN</t>
        </is>
      </c>
      <c r="E338" t="inlineStr">
        <is>
          <t>BORLÄNGE</t>
        </is>
      </c>
      <c r="G338" t="n">
        <v>7.2</v>
      </c>
      <c r="H338" t="n">
        <v>0</v>
      </c>
      <c r="I338" t="n">
        <v>0</v>
      </c>
      <c r="J338" t="n">
        <v>0</v>
      </c>
      <c r="K338" t="n">
        <v>0</v>
      </c>
      <c r="L338" t="n">
        <v>0</v>
      </c>
      <c r="M338" t="n">
        <v>1</v>
      </c>
      <c r="N338" t="n">
        <v>0</v>
      </c>
      <c r="O338" t="n">
        <v>1</v>
      </c>
      <c r="P338" t="n">
        <v>1</v>
      </c>
      <c r="Q338" t="n">
        <v>1</v>
      </c>
      <c r="R338" s="2" t="inlineStr">
        <is>
          <t>Skogsalm</t>
        </is>
      </c>
      <c r="S338">
        <f>HYPERLINK("https://klasma.github.io/Logging_2081/artfynd/A 68272-2018.xlsx", "A 68272-2018")</f>
        <v/>
      </c>
      <c r="T338">
        <f>HYPERLINK("https://klasma.github.io/Logging_2081/kartor/A 68272-2018.png", "A 68272-2018")</f>
        <v/>
      </c>
      <c r="V338">
        <f>HYPERLINK("https://klasma.github.io/Logging_2081/klagomål/A 68272-2018.docx", "A 68272-2018")</f>
        <v/>
      </c>
      <c r="W338">
        <f>HYPERLINK("https://klasma.github.io/Logging_2081/klagomålsmail/A 68272-2018.docx", "A 68272-2018")</f>
        <v/>
      </c>
      <c r="X338">
        <f>HYPERLINK("https://klasma.github.io/Logging_2081/tillsyn/A 68272-2018.docx", "A 68272-2018")</f>
        <v/>
      </c>
      <c r="Y338">
        <f>HYPERLINK("https://klasma.github.io/Logging_2081/tillsynsmail/A 68272-2018.docx", "A 68272-2018")</f>
        <v/>
      </c>
    </row>
    <row r="339" ht="15" customHeight="1">
      <c r="A339" t="inlineStr">
        <is>
          <t>A 69074-2018</t>
        </is>
      </c>
      <c r="B339" s="1" t="n">
        <v>43445</v>
      </c>
      <c r="C339" s="1" t="n">
        <v>45210</v>
      </c>
      <c r="D339" t="inlineStr">
        <is>
          <t>DALARNAS LÄN</t>
        </is>
      </c>
      <c r="E339" t="inlineStr">
        <is>
          <t>HEDEMORA</t>
        </is>
      </c>
      <c r="F339" t="inlineStr">
        <is>
          <t>Sveaskog</t>
        </is>
      </c>
      <c r="G339" t="n">
        <v>6</v>
      </c>
      <c r="H339" t="n">
        <v>1</v>
      </c>
      <c r="I339" t="n">
        <v>0</v>
      </c>
      <c r="J339" t="n">
        <v>1</v>
      </c>
      <c r="K339" t="n">
        <v>0</v>
      </c>
      <c r="L339" t="n">
        <v>0</v>
      </c>
      <c r="M339" t="n">
        <v>0</v>
      </c>
      <c r="N339" t="n">
        <v>0</v>
      </c>
      <c r="O339" t="n">
        <v>1</v>
      </c>
      <c r="P339" t="n">
        <v>0</v>
      </c>
      <c r="Q339" t="n">
        <v>1</v>
      </c>
      <c r="R339" s="2" t="inlineStr">
        <is>
          <t>Spillkråka</t>
        </is>
      </c>
      <c r="S339">
        <f>HYPERLINK("https://klasma.github.io/Logging_2083/artfynd/A 69074-2018.xlsx", "A 69074-2018")</f>
        <v/>
      </c>
      <c r="T339">
        <f>HYPERLINK("https://klasma.github.io/Logging_2083/kartor/A 69074-2018.png", "A 69074-2018")</f>
        <v/>
      </c>
      <c r="V339">
        <f>HYPERLINK("https://klasma.github.io/Logging_2083/klagomål/A 69074-2018.docx", "A 69074-2018")</f>
        <v/>
      </c>
      <c r="W339">
        <f>HYPERLINK("https://klasma.github.io/Logging_2083/klagomålsmail/A 69074-2018.docx", "A 69074-2018")</f>
        <v/>
      </c>
      <c r="X339">
        <f>HYPERLINK("https://klasma.github.io/Logging_2083/tillsyn/A 69074-2018.docx", "A 69074-2018")</f>
        <v/>
      </c>
      <c r="Y339">
        <f>HYPERLINK("https://klasma.github.io/Logging_2083/tillsynsmail/A 69074-2018.docx", "A 69074-2018")</f>
        <v/>
      </c>
    </row>
    <row r="340" ht="15" customHeight="1">
      <c r="A340" t="inlineStr">
        <is>
          <t>A 71201-2018</t>
        </is>
      </c>
      <c r="B340" s="1" t="n">
        <v>43453</v>
      </c>
      <c r="C340" s="1" t="n">
        <v>45210</v>
      </c>
      <c r="D340" t="inlineStr">
        <is>
          <t>DALARNAS LÄN</t>
        </is>
      </c>
      <c r="E340" t="inlineStr">
        <is>
          <t>LUDVIKA</t>
        </is>
      </c>
      <c r="F340" t="inlineStr">
        <is>
          <t>Bergvik skog väst AB</t>
        </is>
      </c>
      <c r="G340" t="n">
        <v>2.3</v>
      </c>
      <c r="H340" t="n">
        <v>0</v>
      </c>
      <c r="I340" t="n">
        <v>1</v>
      </c>
      <c r="J340" t="n">
        <v>0</v>
      </c>
      <c r="K340" t="n">
        <v>0</v>
      </c>
      <c r="L340" t="n">
        <v>0</v>
      </c>
      <c r="M340" t="n">
        <v>0</v>
      </c>
      <c r="N340" t="n">
        <v>0</v>
      </c>
      <c r="O340" t="n">
        <v>0</v>
      </c>
      <c r="P340" t="n">
        <v>0</v>
      </c>
      <c r="Q340" t="n">
        <v>1</v>
      </c>
      <c r="R340" s="2" t="inlineStr">
        <is>
          <t>Strimspindling</t>
        </is>
      </c>
      <c r="S340">
        <f>HYPERLINK("https://klasma.github.io/Logging_2085/artfynd/A 71201-2018.xlsx", "A 71201-2018")</f>
        <v/>
      </c>
      <c r="T340">
        <f>HYPERLINK("https://klasma.github.io/Logging_2085/kartor/A 71201-2018.png", "A 71201-2018")</f>
        <v/>
      </c>
      <c r="V340">
        <f>HYPERLINK("https://klasma.github.io/Logging_2085/klagomål/A 71201-2018.docx", "A 71201-2018")</f>
        <v/>
      </c>
      <c r="W340">
        <f>HYPERLINK("https://klasma.github.io/Logging_2085/klagomålsmail/A 71201-2018.docx", "A 71201-2018")</f>
        <v/>
      </c>
      <c r="X340">
        <f>HYPERLINK("https://klasma.github.io/Logging_2085/tillsyn/A 71201-2018.docx", "A 71201-2018")</f>
        <v/>
      </c>
      <c r="Y340">
        <f>HYPERLINK("https://klasma.github.io/Logging_2085/tillsynsmail/A 71201-2018.docx", "A 71201-2018")</f>
        <v/>
      </c>
    </row>
    <row r="341" ht="15" customHeight="1">
      <c r="A341" t="inlineStr">
        <is>
          <t>A 1103-2019</t>
        </is>
      </c>
      <c r="B341" s="1" t="n">
        <v>43472</v>
      </c>
      <c r="C341" s="1" t="n">
        <v>45210</v>
      </c>
      <c r="D341" t="inlineStr">
        <is>
          <t>DALARNAS LÄN</t>
        </is>
      </c>
      <c r="E341" t="inlineStr">
        <is>
          <t>SÄTER</t>
        </is>
      </c>
      <c r="G341" t="n">
        <v>3.1</v>
      </c>
      <c r="H341" t="n">
        <v>0</v>
      </c>
      <c r="I341" t="n">
        <v>1</v>
      </c>
      <c r="J341" t="n">
        <v>0</v>
      </c>
      <c r="K341" t="n">
        <v>0</v>
      </c>
      <c r="L341" t="n">
        <v>0</v>
      </c>
      <c r="M341" t="n">
        <v>0</v>
      </c>
      <c r="N341" t="n">
        <v>0</v>
      </c>
      <c r="O341" t="n">
        <v>0</v>
      </c>
      <c r="P341" t="n">
        <v>0</v>
      </c>
      <c r="Q341" t="n">
        <v>1</v>
      </c>
      <c r="R341" s="2" t="inlineStr">
        <is>
          <t>Dropptaggsvamp</t>
        </is>
      </c>
      <c r="S341">
        <f>HYPERLINK("https://klasma.github.io/Logging_2082/artfynd/A 1103-2019.xlsx", "A 1103-2019")</f>
        <v/>
      </c>
      <c r="T341">
        <f>HYPERLINK("https://klasma.github.io/Logging_2082/kartor/A 1103-2019.png", "A 1103-2019")</f>
        <v/>
      </c>
      <c r="V341">
        <f>HYPERLINK("https://klasma.github.io/Logging_2082/klagomål/A 1103-2019.docx", "A 1103-2019")</f>
        <v/>
      </c>
      <c r="W341">
        <f>HYPERLINK("https://klasma.github.io/Logging_2082/klagomålsmail/A 1103-2019.docx", "A 1103-2019")</f>
        <v/>
      </c>
      <c r="X341">
        <f>HYPERLINK("https://klasma.github.io/Logging_2082/tillsyn/A 1103-2019.docx", "A 1103-2019")</f>
        <v/>
      </c>
      <c r="Y341">
        <f>HYPERLINK("https://klasma.github.io/Logging_2082/tillsynsmail/A 1103-2019.docx", "A 1103-2019")</f>
        <v/>
      </c>
    </row>
    <row r="342" ht="15" customHeight="1">
      <c r="A342" t="inlineStr">
        <is>
          <t>A 4399-2019</t>
        </is>
      </c>
      <c r="B342" s="1" t="n">
        <v>43484</v>
      </c>
      <c r="C342" s="1" t="n">
        <v>45210</v>
      </c>
      <c r="D342" t="inlineStr">
        <is>
          <t>DALARNAS LÄN</t>
        </is>
      </c>
      <c r="E342" t="inlineStr">
        <is>
          <t>MALUNG-SÄLEN</t>
        </is>
      </c>
      <c r="G342" t="n">
        <v>1.1</v>
      </c>
      <c r="H342" t="n">
        <v>1</v>
      </c>
      <c r="I342" t="n">
        <v>0</v>
      </c>
      <c r="J342" t="n">
        <v>0</v>
      </c>
      <c r="K342" t="n">
        <v>0</v>
      </c>
      <c r="L342" t="n">
        <v>0</v>
      </c>
      <c r="M342" t="n">
        <v>0</v>
      </c>
      <c r="N342" t="n">
        <v>0</v>
      </c>
      <c r="O342" t="n">
        <v>0</v>
      </c>
      <c r="P342" t="n">
        <v>0</v>
      </c>
      <c r="Q342" t="n">
        <v>1</v>
      </c>
      <c r="R342" s="2" t="inlineStr">
        <is>
          <t>Skogsödla</t>
        </is>
      </c>
      <c r="S342">
        <f>HYPERLINK("https://klasma.github.io/Logging_2023/artfynd/A 4399-2019.xlsx", "A 4399-2019")</f>
        <v/>
      </c>
      <c r="T342">
        <f>HYPERLINK("https://klasma.github.io/Logging_2023/kartor/A 4399-2019.png", "A 4399-2019")</f>
        <v/>
      </c>
      <c r="V342">
        <f>HYPERLINK("https://klasma.github.io/Logging_2023/klagomål/A 4399-2019.docx", "A 4399-2019")</f>
        <v/>
      </c>
      <c r="W342">
        <f>HYPERLINK("https://klasma.github.io/Logging_2023/klagomålsmail/A 4399-2019.docx", "A 4399-2019")</f>
        <v/>
      </c>
      <c r="X342">
        <f>HYPERLINK("https://klasma.github.io/Logging_2023/tillsyn/A 4399-2019.docx", "A 4399-2019")</f>
        <v/>
      </c>
      <c r="Y342">
        <f>HYPERLINK("https://klasma.github.io/Logging_2023/tillsynsmail/A 4399-2019.docx", "A 4399-2019")</f>
        <v/>
      </c>
    </row>
    <row r="343" ht="15" customHeight="1">
      <c r="A343" t="inlineStr">
        <is>
          <t>A 6043-2019</t>
        </is>
      </c>
      <c r="B343" s="1" t="n">
        <v>43493</v>
      </c>
      <c r="C343" s="1" t="n">
        <v>45210</v>
      </c>
      <c r="D343" t="inlineStr">
        <is>
          <t>DALARNAS LÄN</t>
        </is>
      </c>
      <c r="E343" t="inlineStr">
        <is>
          <t>RÄTTVIK</t>
        </is>
      </c>
      <c r="G343" t="n">
        <v>11.3</v>
      </c>
      <c r="H343" t="n">
        <v>0</v>
      </c>
      <c r="I343" t="n">
        <v>0</v>
      </c>
      <c r="J343" t="n">
        <v>1</v>
      </c>
      <c r="K343" t="n">
        <v>0</v>
      </c>
      <c r="L343" t="n">
        <v>0</v>
      </c>
      <c r="M343" t="n">
        <v>0</v>
      </c>
      <c r="N343" t="n">
        <v>0</v>
      </c>
      <c r="O343" t="n">
        <v>1</v>
      </c>
      <c r="P343" t="n">
        <v>0</v>
      </c>
      <c r="Q343" t="n">
        <v>1</v>
      </c>
      <c r="R343" s="2" t="inlineStr">
        <is>
          <t>Tallticka</t>
        </is>
      </c>
      <c r="S343">
        <f>HYPERLINK("https://klasma.github.io/Logging_2031/artfynd/A 6043-2019.xlsx", "A 6043-2019")</f>
        <v/>
      </c>
      <c r="T343">
        <f>HYPERLINK("https://klasma.github.io/Logging_2031/kartor/A 6043-2019.png", "A 6043-2019")</f>
        <v/>
      </c>
      <c r="V343">
        <f>HYPERLINK("https://klasma.github.io/Logging_2031/klagomål/A 6043-2019.docx", "A 6043-2019")</f>
        <v/>
      </c>
      <c r="W343">
        <f>HYPERLINK("https://klasma.github.io/Logging_2031/klagomålsmail/A 6043-2019.docx", "A 6043-2019")</f>
        <v/>
      </c>
      <c r="X343">
        <f>HYPERLINK("https://klasma.github.io/Logging_2031/tillsyn/A 6043-2019.docx", "A 6043-2019")</f>
        <v/>
      </c>
      <c r="Y343">
        <f>HYPERLINK("https://klasma.github.io/Logging_2031/tillsynsmail/A 6043-2019.docx", "A 6043-2019")</f>
        <v/>
      </c>
    </row>
    <row r="344" ht="15" customHeight="1">
      <c r="A344" t="inlineStr">
        <is>
          <t>A 9115-2019</t>
        </is>
      </c>
      <c r="B344" s="1" t="n">
        <v>43504</v>
      </c>
      <c r="C344" s="1" t="n">
        <v>45210</v>
      </c>
      <c r="D344" t="inlineStr">
        <is>
          <t>DALARNAS LÄN</t>
        </is>
      </c>
      <c r="E344" t="inlineStr">
        <is>
          <t>MALUNG-SÄLEN</t>
        </is>
      </c>
      <c r="G344" t="n">
        <v>4</v>
      </c>
      <c r="H344" t="n">
        <v>0</v>
      </c>
      <c r="I344" t="n">
        <v>0</v>
      </c>
      <c r="J344" t="n">
        <v>1</v>
      </c>
      <c r="K344" t="n">
        <v>0</v>
      </c>
      <c r="L344" t="n">
        <v>0</v>
      </c>
      <c r="M344" t="n">
        <v>0</v>
      </c>
      <c r="N344" t="n">
        <v>0</v>
      </c>
      <c r="O344" t="n">
        <v>1</v>
      </c>
      <c r="P344" t="n">
        <v>0</v>
      </c>
      <c r="Q344" t="n">
        <v>1</v>
      </c>
      <c r="R344" s="2" t="inlineStr">
        <is>
          <t>Garnlav</t>
        </is>
      </c>
      <c r="S344">
        <f>HYPERLINK("https://klasma.github.io/Logging_2023/artfynd/A 9115-2019.xlsx", "A 9115-2019")</f>
        <v/>
      </c>
      <c r="T344">
        <f>HYPERLINK("https://klasma.github.io/Logging_2023/kartor/A 9115-2019.png", "A 9115-2019")</f>
        <v/>
      </c>
      <c r="V344">
        <f>HYPERLINK("https://klasma.github.io/Logging_2023/klagomål/A 9115-2019.docx", "A 9115-2019")</f>
        <v/>
      </c>
      <c r="W344">
        <f>HYPERLINK("https://klasma.github.io/Logging_2023/klagomålsmail/A 9115-2019.docx", "A 9115-2019")</f>
        <v/>
      </c>
      <c r="X344">
        <f>HYPERLINK("https://klasma.github.io/Logging_2023/tillsyn/A 9115-2019.docx", "A 9115-2019")</f>
        <v/>
      </c>
      <c r="Y344">
        <f>HYPERLINK("https://klasma.github.io/Logging_2023/tillsynsmail/A 9115-2019.docx", "A 9115-2019")</f>
        <v/>
      </c>
    </row>
    <row r="345" ht="15" customHeight="1">
      <c r="A345" t="inlineStr">
        <is>
          <t>A 15768-2019</t>
        </is>
      </c>
      <c r="B345" s="1" t="n">
        <v>43543</v>
      </c>
      <c r="C345" s="1" t="n">
        <v>45210</v>
      </c>
      <c r="D345" t="inlineStr">
        <is>
          <t>DALARNAS LÄN</t>
        </is>
      </c>
      <c r="E345" t="inlineStr">
        <is>
          <t>FALUN</t>
        </is>
      </c>
      <c r="G345" t="n">
        <v>3.7</v>
      </c>
      <c r="H345" t="n">
        <v>1</v>
      </c>
      <c r="I345" t="n">
        <v>0</v>
      </c>
      <c r="J345" t="n">
        <v>0</v>
      </c>
      <c r="K345" t="n">
        <v>1</v>
      </c>
      <c r="L345" t="n">
        <v>0</v>
      </c>
      <c r="M345" t="n">
        <v>0</v>
      </c>
      <c r="N345" t="n">
        <v>0</v>
      </c>
      <c r="O345" t="n">
        <v>1</v>
      </c>
      <c r="P345" t="n">
        <v>1</v>
      </c>
      <c r="Q345" t="n">
        <v>1</v>
      </c>
      <c r="R345" s="2" t="inlineStr">
        <is>
          <t>Stare</t>
        </is>
      </c>
      <c r="S345">
        <f>HYPERLINK("https://klasma.github.io/Logging_2080/artfynd/A 15768-2019.xlsx", "A 15768-2019")</f>
        <v/>
      </c>
      <c r="T345">
        <f>HYPERLINK("https://klasma.github.io/Logging_2080/kartor/A 15768-2019.png", "A 15768-2019")</f>
        <v/>
      </c>
      <c r="V345">
        <f>HYPERLINK("https://klasma.github.io/Logging_2080/klagomål/A 15768-2019.docx", "A 15768-2019")</f>
        <v/>
      </c>
      <c r="W345">
        <f>HYPERLINK("https://klasma.github.io/Logging_2080/klagomålsmail/A 15768-2019.docx", "A 15768-2019")</f>
        <v/>
      </c>
      <c r="X345">
        <f>HYPERLINK("https://klasma.github.io/Logging_2080/tillsyn/A 15768-2019.docx", "A 15768-2019")</f>
        <v/>
      </c>
      <c r="Y345">
        <f>HYPERLINK("https://klasma.github.io/Logging_2080/tillsynsmail/A 15768-2019.docx", "A 15768-2019")</f>
        <v/>
      </c>
    </row>
    <row r="346" ht="15" customHeight="1">
      <c r="A346" t="inlineStr">
        <is>
          <t>A 16034-2019</t>
        </is>
      </c>
      <c r="B346" s="1" t="n">
        <v>43543</v>
      </c>
      <c r="C346" s="1" t="n">
        <v>45210</v>
      </c>
      <c r="D346" t="inlineStr">
        <is>
          <t>DALARNAS LÄN</t>
        </is>
      </c>
      <c r="E346" t="inlineStr">
        <is>
          <t>MALUNG-SÄLEN</t>
        </is>
      </c>
      <c r="G346" t="n">
        <v>4.2</v>
      </c>
      <c r="H346" t="n">
        <v>0</v>
      </c>
      <c r="I346" t="n">
        <v>0</v>
      </c>
      <c r="J346" t="n">
        <v>1</v>
      </c>
      <c r="K346" t="n">
        <v>0</v>
      </c>
      <c r="L346" t="n">
        <v>0</v>
      </c>
      <c r="M346" t="n">
        <v>0</v>
      </c>
      <c r="N346" t="n">
        <v>0</v>
      </c>
      <c r="O346" t="n">
        <v>1</v>
      </c>
      <c r="P346" t="n">
        <v>0</v>
      </c>
      <c r="Q346" t="n">
        <v>1</v>
      </c>
      <c r="R346" s="2" t="inlineStr">
        <is>
          <t>Ullticka</t>
        </is>
      </c>
      <c r="S346">
        <f>HYPERLINK("https://klasma.github.io/Logging_2023/artfynd/A 16034-2019.xlsx", "A 16034-2019")</f>
        <v/>
      </c>
      <c r="T346">
        <f>HYPERLINK("https://klasma.github.io/Logging_2023/kartor/A 16034-2019.png", "A 16034-2019")</f>
        <v/>
      </c>
      <c r="V346">
        <f>HYPERLINK("https://klasma.github.io/Logging_2023/klagomål/A 16034-2019.docx", "A 16034-2019")</f>
        <v/>
      </c>
      <c r="W346">
        <f>HYPERLINK("https://klasma.github.io/Logging_2023/klagomålsmail/A 16034-2019.docx", "A 16034-2019")</f>
        <v/>
      </c>
      <c r="X346">
        <f>HYPERLINK("https://klasma.github.io/Logging_2023/tillsyn/A 16034-2019.docx", "A 16034-2019")</f>
        <v/>
      </c>
      <c r="Y346">
        <f>HYPERLINK("https://klasma.github.io/Logging_2023/tillsynsmail/A 16034-2019.docx", "A 16034-2019")</f>
        <v/>
      </c>
    </row>
    <row r="347" ht="15" customHeight="1">
      <c r="A347" t="inlineStr">
        <is>
          <t>A 16079-2019</t>
        </is>
      </c>
      <c r="B347" s="1" t="n">
        <v>43544</v>
      </c>
      <c r="C347" s="1" t="n">
        <v>45210</v>
      </c>
      <c r="D347" t="inlineStr">
        <is>
          <t>DALARNAS LÄN</t>
        </is>
      </c>
      <c r="E347" t="inlineStr">
        <is>
          <t>BORLÄNGE</t>
        </is>
      </c>
      <c r="G347" t="n">
        <v>3.3</v>
      </c>
      <c r="H347" t="n">
        <v>1</v>
      </c>
      <c r="I347" t="n">
        <v>0</v>
      </c>
      <c r="J347" t="n">
        <v>0</v>
      </c>
      <c r="K347" t="n">
        <v>1</v>
      </c>
      <c r="L347" t="n">
        <v>0</v>
      </c>
      <c r="M347" t="n">
        <v>0</v>
      </c>
      <c r="N347" t="n">
        <v>0</v>
      </c>
      <c r="O347" t="n">
        <v>1</v>
      </c>
      <c r="P347" t="n">
        <v>1</v>
      </c>
      <c r="Q347" t="n">
        <v>1</v>
      </c>
      <c r="R347" s="2" t="inlineStr">
        <is>
          <t>Knärot</t>
        </is>
      </c>
      <c r="S347">
        <f>HYPERLINK("https://klasma.github.io/Logging_2081/artfynd/A 16079-2019.xlsx", "A 16079-2019")</f>
        <v/>
      </c>
      <c r="T347">
        <f>HYPERLINK("https://klasma.github.io/Logging_2081/kartor/A 16079-2019.png", "A 16079-2019")</f>
        <v/>
      </c>
      <c r="U347">
        <f>HYPERLINK("https://klasma.github.io/Logging_2081/knärot/A 16079-2019.png", "A 16079-2019")</f>
        <v/>
      </c>
      <c r="V347">
        <f>HYPERLINK("https://klasma.github.io/Logging_2081/klagomål/A 16079-2019.docx", "A 16079-2019")</f>
        <v/>
      </c>
      <c r="W347">
        <f>HYPERLINK("https://klasma.github.io/Logging_2081/klagomålsmail/A 16079-2019.docx", "A 16079-2019")</f>
        <v/>
      </c>
      <c r="X347">
        <f>HYPERLINK("https://klasma.github.io/Logging_2081/tillsyn/A 16079-2019.docx", "A 16079-2019")</f>
        <v/>
      </c>
      <c r="Y347">
        <f>HYPERLINK("https://klasma.github.io/Logging_2081/tillsynsmail/A 16079-2019.docx", "A 16079-2019")</f>
        <v/>
      </c>
    </row>
    <row r="348" ht="15" customHeight="1">
      <c r="A348" t="inlineStr">
        <is>
          <t>A 16738-2019</t>
        </is>
      </c>
      <c r="B348" s="1" t="n">
        <v>43549</v>
      </c>
      <c r="C348" s="1" t="n">
        <v>45210</v>
      </c>
      <c r="D348" t="inlineStr">
        <is>
          <t>DALARNAS LÄN</t>
        </is>
      </c>
      <c r="E348" t="inlineStr">
        <is>
          <t>ÄLVDALEN</t>
        </is>
      </c>
      <c r="G348" t="n">
        <v>10.7</v>
      </c>
      <c r="H348" t="n">
        <v>0</v>
      </c>
      <c r="I348" t="n">
        <v>0</v>
      </c>
      <c r="J348" t="n">
        <v>0</v>
      </c>
      <c r="K348" t="n">
        <v>1</v>
      </c>
      <c r="L348" t="n">
        <v>0</v>
      </c>
      <c r="M348" t="n">
        <v>0</v>
      </c>
      <c r="N348" t="n">
        <v>0</v>
      </c>
      <c r="O348" t="n">
        <v>1</v>
      </c>
      <c r="P348" t="n">
        <v>1</v>
      </c>
      <c r="Q348" t="n">
        <v>1</v>
      </c>
      <c r="R348" s="2" t="inlineStr">
        <is>
          <t>Ringlav</t>
        </is>
      </c>
      <c r="S348">
        <f>HYPERLINK("https://klasma.github.io/Logging_2039/artfynd/A 16738-2019.xlsx", "A 16738-2019")</f>
        <v/>
      </c>
      <c r="T348">
        <f>HYPERLINK("https://klasma.github.io/Logging_2039/kartor/A 16738-2019.png", "A 16738-2019")</f>
        <v/>
      </c>
      <c r="V348">
        <f>HYPERLINK("https://klasma.github.io/Logging_2039/klagomål/A 16738-2019.docx", "A 16738-2019")</f>
        <v/>
      </c>
      <c r="W348">
        <f>HYPERLINK("https://klasma.github.io/Logging_2039/klagomålsmail/A 16738-2019.docx", "A 16738-2019")</f>
        <v/>
      </c>
      <c r="X348">
        <f>HYPERLINK("https://klasma.github.io/Logging_2039/tillsyn/A 16738-2019.docx", "A 16738-2019")</f>
        <v/>
      </c>
      <c r="Y348">
        <f>HYPERLINK("https://klasma.github.io/Logging_2039/tillsynsmail/A 16738-2019.docx", "A 16738-2019")</f>
        <v/>
      </c>
    </row>
    <row r="349" ht="15" customHeight="1">
      <c r="A349" t="inlineStr">
        <is>
          <t>A 17619-2019</t>
        </is>
      </c>
      <c r="B349" s="1" t="n">
        <v>43555</v>
      </c>
      <c r="C349" s="1" t="n">
        <v>45210</v>
      </c>
      <c r="D349" t="inlineStr">
        <is>
          <t>DALARNAS LÄN</t>
        </is>
      </c>
      <c r="E349" t="inlineStr">
        <is>
          <t>LEKSAND</t>
        </is>
      </c>
      <c r="G349" t="n">
        <v>2.1</v>
      </c>
      <c r="H349" t="n">
        <v>1</v>
      </c>
      <c r="I349" t="n">
        <v>0</v>
      </c>
      <c r="J349" t="n">
        <v>0</v>
      </c>
      <c r="K349" t="n">
        <v>0</v>
      </c>
      <c r="L349" t="n">
        <v>0</v>
      </c>
      <c r="M349" t="n">
        <v>0</v>
      </c>
      <c r="N349" t="n">
        <v>0</v>
      </c>
      <c r="O349" t="n">
        <v>0</v>
      </c>
      <c r="P349" t="n">
        <v>0</v>
      </c>
      <c r="Q349" t="n">
        <v>1</v>
      </c>
      <c r="R349" s="2" t="inlineStr">
        <is>
          <t>Nattviol</t>
        </is>
      </c>
      <c r="S349">
        <f>HYPERLINK("https://klasma.github.io/Logging_2029/artfynd/A 17619-2019.xlsx", "A 17619-2019")</f>
        <v/>
      </c>
      <c r="T349">
        <f>HYPERLINK("https://klasma.github.io/Logging_2029/kartor/A 17619-2019.png", "A 17619-2019")</f>
        <v/>
      </c>
      <c r="V349">
        <f>HYPERLINK("https://klasma.github.io/Logging_2029/klagomål/A 17619-2019.docx", "A 17619-2019")</f>
        <v/>
      </c>
      <c r="W349">
        <f>HYPERLINK("https://klasma.github.io/Logging_2029/klagomålsmail/A 17619-2019.docx", "A 17619-2019")</f>
        <v/>
      </c>
      <c r="X349">
        <f>HYPERLINK("https://klasma.github.io/Logging_2029/tillsyn/A 17619-2019.docx", "A 17619-2019")</f>
        <v/>
      </c>
      <c r="Y349">
        <f>HYPERLINK("https://klasma.github.io/Logging_2029/tillsynsmail/A 17619-2019.docx", "A 17619-2019")</f>
        <v/>
      </c>
    </row>
    <row r="350" ht="15" customHeight="1">
      <c r="A350" t="inlineStr">
        <is>
          <t>A 21672-2019</t>
        </is>
      </c>
      <c r="B350" s="1" t="n">
        <v>43581</v>
      </c>
      <c r="C350" s="1" t="n">
        <v>45210</v>
      </c>
      <c r="D350" t="inlineStr">
        <is>
          <t>DALARNAS LÄN</t>
        </is>
      </c>
      <c r="E350" t="inlineStr">
        <is>
          <t>LUDVIKA</t>
        </is>
      </c>
      <c r="G350" t="n">
        <v>6.3</v>
      </c>
      <c r="H350" t="n">
        <v>1</v>
      </c>
      <c r="I350" t="n">
        <v>0</v>
      </c>
      <c r="J350" t="n">
        <v>0</v>
      </c>
      <c r="K350" t="n">
        <v>0</v>
      </c>
      <c r="L350" t="n">
        <v>1</v>
      </c>
      <c r="M350" t="n">
        <v>0</v>
      </c>
      <c r="N350" t="n">
        <v>0</v>
      </c>
      <c r="O350" t="n">
        <v>1</v>
      </c>
      <c r="P350" t="n">
        <v>1</v>
      </c>
      <c r="Q350" t="n">
        <v>1</v>
      </c>
      <c r="R350" s="2" t="inlineStr">
        <is>
          <t>Mosippa</t>
        </is>
      </c>
      <c r="S350">
        <f>HYPERLINK("https://klasma.github.io/Logging_2085/artfynd/A 21672-2019.xlsx", "A 21672-2019")</f>
        <v/>
      </c>
      <c r="T350">
        <f>HYPERLINK("https://klasma.github.io/Logging_2085/kartor/A 21672-2019.png", "A 21672-2019")</f>
        <v/>
      </c>
      <c r="V350">
        <f>HYPERLINK("https://klasma.github.io/Logging_2085/klagomål/A 21672-2019.docx", "A 21672-2019")</f>
        <v/>
      </c>
      <c r="W350">
        <f>HYPERLINK("https://klasma.github.io/Logging_2085/klagomålsmail/A 21672-2019.docx", "A 21672-2019")</f>
        <v/>
      </c>
      <c r="X350">
        <f>HYPERLINK("https://klasma.github.io/Logging_2085/tillsyn/A 21672-2019.docx", "A 21672-2019")</f>
        <v/>
      </c>
      <c r="Y350">
        <f>HYPERLINK("https://klasma.github.io/Logging_2085/tillsynsmail/A 21672-2019.docx", "A 21672-2019")</f>
        <v/>
      </c>
    </row>
    <row r="351" ht="15" customHeight="1">
      <c r="A351" t="inlineStr">
        <is>
          <t>A 21877-2019</t>
        </is>
      </c>
      <c r="B351" s="1" t="n">
        <v>43584</v>
      </c>
      <c r="C351" s="1" t="n">
        <v>45210</v>
      </c>
      <c r="D351" t="inlineStr">
        <is>
          <t>DALARNAS LÄN</t>
        </is>
      </c>
      <c r="E351" t="inlineStr">
        <is>
          <t>VANSBRO</t>
        </is>
      </c>
      <c r="F351" t="inlineStr">
        <is>
          <t>Bergvik skog väst AB</t>
        </is>
      </c>
      <c r="G351" t="n">
        <v>3.7</v>
      </c>
      <c r="H351" t="n">
        <v>1</v>
      </c>
      <c r="I351" t="n">
        <v>0</v>
      </c>
      <c r="J351" t="n">
        <v>1</v>
      </c>
      <c r="K351" t="n">
        <v>0</v>
      </c>
      <c r="L351" t="n">
        <v>0</v>
      </c>
      <c r="M351" t="n">
        <v>0</v>
      </c>
      <c r="N351" t="n">
        <v>0</v>
      </c>
      <c r="O351" t="n">
        <v>1</v>
      </c>
      <c r="P351" t="n">
        <v>0</v>
      </c>
      <c r="Q351" t="n">
        <v>1</v>
      </c>
      <c r="R351" s="2" t="inlineStr">
        <is>
          <t>Utter</t>
        </is>
      </c>
      <c r="S351">
        <f>HYPERLINK("https://klasma.github.io/Logging_2021/artfynd/A 21877-2019.xlsx", "A 21877-2019")</f>
        <v/>
      </c>
      <c r="T351">
        <f>HYPERLINK("https://klasma.github.io/Logging_2021/kartor/A 21877-2019.png", "A 21877-2019")</f>
        <v/>
      </c>
      <c r="V351">
        <f>HYPERLINK("https://klasma.github.io/Logging_2021/klagomål/A 21877-2019.docx", "A 21877-2019")</f>
        <v/>
      </c>
      <c r="W351">
        <f>HYPERLINK("https://klasma.github.io/Logging_2021/klagomålsmail/A 21877-2019.docx", "A 21877-2019")</f>
        <v/>
      </c>
      <c r="X351">
        <f>HYPERLINK("https://klasma.github.io/Logging_2021/tillsyn/A 21877-2019.docx", "A 21877-2019")</f>
        <v/>
      </c>
      <c r="Y351">
        <f>HYPERLINK("https://klasma.github.io/Logging_2021/tillsynsmail/A 21877-2019.docx", "A 21877-2019")</f>
        <v/>
      </c>
    </row>
    <row r="352" ht="15" customHeight="1">
      <c r="A352" t="inlineStr">
        <is>
          <t>A 22522-2019</t>
        </is>
      </c>
      <c r="B352" s="1" t="n">
        <v>43587</v>
      </c>
      <c r="C352" s="1" t="n">
        <v>45210</v>
      </c>
      <c r="D352" t="inlineStr">
        <is>
          <t>DALARNAS LÄN</t>
        </is>
      </c>
      <c r="E352" t="inlineStr">
        <is>
          <t>ÄLVDALEN</t>
        </is>
      </c>
      <c r="G352" t="n">
        <v>5.1</v>
      </c>
      <c r="H352" t="n">
        <v>1</v>
      </c>
      <c r="I352" t="n">
        <v>0</v>
      </c>
      <c r="J352" t="n">
        <v>1</v>
      </c>
      <c r="K352" t="n">
        <v>0</v>
      </c>
      <c r="L352" t="n">
        <v>0</v>
      </c>
      <c r="M352" t="n">
        <v>0</v>
      </c>
      <c r="N352" t="n">
        <v>0</v>
      </c>
      <c r="O352" t="n">
        <v>1</v>
      </c>
      <c r="P352" t="n">
        <v>0</v>
      </c>
      <c r="Q352" t="n">
        <v>1</v>
      </c>
      <c r="R352" s="2" t="inlineStr">
        <is>
          <t>Utter</t>
        </is>
      </c>
      <c r="S352">
        <f>HYPERLINK("https://klasma.github.io/Logging_2039/artfynd/A 22522-2019.xlsx", "A 22522-2019")</f>
        <v/>
      </c>
      <c r="T352">
        <f>HYPERLINK("https://klasma.github.io/Logging_2039/kartor/A 22522-2019.png", "A 22522-2019")</f>
        <v/>
      </c>
      <c r="V352">
        <f>HYPERLINK("https://klasma.github.io/Logging_2039/klagomål/A 22522-2019.docx", "A 22522-2019")</f>
        <v/>
      </c>
      <c r="W352">
        <f>HYPERLINK("https://klasma.github.io/Logging_2039/klagomålsmail/A 22522-2019.docx", "A 22522-2019")</f>
        <v/>
      </c>
      <c r="X352">
        <f>HYPERLINK("https://klasma.github.io/Logging_2039/tillsyn/A 22522-2019.docx", "A 22522-2019")</f>
        <v/>
      </c>
      <c r="Y352">
        <f>HYPERLINK("https://klasma.github.io/Logging_2039/tillsynsmail/A 22522-2019.docx", "A 22522-2019")</f>
        <v/>
      </c>
    </row>
    <row r="353" ht="15" customHeight="1">
      <c r="A353" t="inlineStr">
        <is>
          <t>A 23496-2019</t>
        </is>
      </c>
      <c r="B353" s="1" t="n">
        <v>43594</v>
      </c>
      <c r="C353" s="1" t="n">
        <v>45210</v>
      </c>
      <c r="D353" t="inlineStr">
        <is>
          <t>DALARNAS LÄN</t>
        </is>
      </c>
      <c r="E353" t="inlineStr">
        <is>
          <t>GAGNEF</t>
        </is>
      </c>
      <c r="G353" t="n">
        <v>1.5</v>
      </c>
      <c r="H353" t="n">
        <v>0</v>
      </c>
      <c r="I353" t="n">
        <v>0</v>
      </c>
      <c r="J353" t="n">
        <v>1</v>
      </c>
      <c r="K353" t="n">
        <v>0</v>
      </c>
      <c r="L353" t="n">
        <v>0</v>
      </c>
      <c r="M353" t="n">
        <v>0</v>
      </c>
      <c r="N353" t="n">
        <v>0</v>
      </c>
      <c r="O353" t="n">
        <v>1</v>
      </c>
      <c r="P353" t="n">
        <v>0</v>
      </c>
      <c r="Q353" t="n">
        <v>1</v>
      </c>
      <c r="R353" s="2" t="inlineStr">
        <is>
          <t>Garnlav</t>
        </is>
      </c>
      <c r="S353">
        <f>HYPERLINK("https://klasma.github.io/Logging_2026/artfynd/A 23496-2019.xlsx", "A 23496-2019")</f>
        <v/>
      </c>
      <c r="T353">
        <f>HYPERLINK("https://klasma.github.io/Logging_2026/kartor/A 23496-2019.png", "A 23496-2019")</f>
        <v/>
      </c>
      <c r="V353">
        <f>HYPERLINK("https://klasma.github.io/Logging_2026/klagomål/A 23496-2019.docx", "A 23496-2019")</f>
        <v/>
      </c>
      <c r="W353">
        <f>HYPERLINK("https://klasma.github.io/Logging_2026/klagomålsmail/A 23496-2019.docx", "A 23496-2019")</f>
        <v/>
      </c>
      <c r="X353">
        <f>HYPERLINK("https://klasma.github.io/Logging_2026/tillsyn/A 23496-2019.docx", "A 23496-2019")</f>
        <v/>
      </c>
      <c r="Y353">
        <f>HYPERLINK("https://klasma.github.io/Logging_2026/tillsynsmail/A 23496-2019.docx", "A 23496-2019")</f>
        <v/>
      </c>
    </row>
    <row r="354" ht="15" customHeight="1">
      <c r="A354" t="inlineStr">
        <is>
          <t>A 29197-2019</t>
        </is>
      </c>
      <c r="B354" s="1" t="n">
        <v>43623</v>
      </c>
      <c r="C354" s="1" t="n">
        <v>45210</v>
      </c>
      <c r="D354" t="inlineStr">
        <is>
          <t>DALARNAS LÄN</t>
        </is>
      </c>
      <c r="E354" t="inlineStr">
        <is>
          <t>RÄTTVIK</t>
        </is>
      </c>
      <c r="G354" t="n">
        <v>1.7</v>
      </c>
      <c r="H354" t="n">
        <v>1</v>
      </c>
      <c r="I354" t="n">
        <v>0</v>
      </c>
      <c r="J354" t="n">
        <v>0</v>
      </c>
      <c r="K354" t="n">
        <v>1</v>
      </c>
      <c r="L354" t="n">
        <v>0</v>
      </c>
      <c r="M354" t="n">
        <v>0</v>
      </c>
      <c r="N354" t="n">
        <v>0</v>
      </c>
      <c r="O354" t="n">
        <v>1</v>
      </c>
      <c r="P354" t="n">
        <v>1</v>
      </c>
      <c r="Q354" t="n">
        <v>1</v>
      </c>
      <c r="R354" s="2" t="inlineStr">
        <is>
          <t>Väddnätfjäril</t>
        </is>
      </c>
      <c r="S354">
        <f>HYPERLINK("https://klasma.github.io/Logging_2031/artfynd/A 29197-2019.xlsx", "A 29197-2019")</f>
        <v/>
      </c>
      <c r="T354">
        <f>HYPERLINK("https://klasma.github.io/Logging_2031/kartor/A 29197-2019.png", "A 29197-2019")</f>
        <v/>
      </c>
      <c r="V354">
        <f>HYPERLINK("https://klasma.github.io/Logging_2031/klagomål/A 29197-2019.docx", "A 29197-2019")</f>
        <v/>
      </c>
      <c r="W354">
        <f>HYPERLINK("https://klasma.github.io/Logging_2031/klagomålsmail/A 29197-2019.docx", "A 29197-2019")</f>
        <v/>
      </c>
      <c r="X354">
        <f>HYPERLINK("https://klasma.github.io/Logging_2031/tillsyn/A 29197-2019.docx", "A 29197-2019")</f>
        <v/>
      </c>
      <c r="Y354">
        <f>HYPERLINK("https://klasma.github.io/Logging_2031/tillsynsmail/A 29197-2019.docx", "A 29197-2019")</f>
        <v/>
      </c>
    </row>
    <row r="355" ht="15" customHeight="1">
      <c r="A355" t="inlineStr">
        <is>
          <t>A 28876-2019</t>
        </is>
      </c>
      <c r="B355" s="1" t="n">
        <v>43628</v>
      </c>
      <c r="C355" s="1" t="n">
        <v>45210</v>
      </c>
      <c r="D355" t="inlineStr">
        <is>
          <t>DALARNAS LÄN</t>
        </is>
      </c>
      <c r="E355" t="inlineStr">
        <is>
          <t>GAGNEF</t>
        </is>
      </c>
      <c r="G355" t="n">
        <v>11.8</v>
      </c>
      <c r="H355" t="n">
        <v>1</v>
      </c>
      <c r="I355" t="n">
        <v>0</v>
      </c>
      <c r="J355" t="n">
        <v>0</v>
      </c>
      <c r="K355" t="n">
        <v>1</v>
      </c>
      <c r="L355" t="n">
        <v>0</v>
      </c>
      <c r="M355" t="n">
        <v>0</v>
      </c>
      <c r="N355" t="n">
        <v>0</v>
      </c>
      <c r="O355" t="n">
        <v>1</v>
      </c>
      <c r="P355" t="n">
        <v>1</v>
      </c>
      <c r="Q355" t="n">
        <v>1</v>
      </c>
      <c r="R355" s="2" t="inlineStr">
        <is>
          <t>Knärot</t>
        </is>
      </c>
      <c r="S355">
        <f>HYPERLINK("https://klasma.github.io/Logging_2026/artfynd/A 28876-2019.xlsx", "A 28876-2019")</f>
        <v/>
      </c>
      <c r="T355">
        <f>HYPERLINK("https://klasma.github.io/Logging_2026/kartor/A 28876-2019.png", "A 28876-2019")</f>
        <v/>
      </c>
      <c r="U355">
        <f>HYPERLINK("https://klasma.github.io/Logging_2026/knärot/A 28876-2019.png", "A 28876-2019")</f>
        <v/>
      </c>
      <c r="V355">
        <f>HYPERLINK("https://klasma.github.io/Logging_2026/klagomål/A 28876-2019.docx", "A 28876-2019")</f>
        <v/>
      </c>
      <c r="W355">
        <f>HYPERLINK("https://klasma.github.io/Logging_2026/klagomålsmail/A 28876-2019.docx", "A 28876-2019")</f>
        <v/>
      </c>
      <c r="X355">
        <f>HYPERLINK("https://klasma.github.io/Logging_2026/tillsyn/A 28876-2019.docx", "A 28876-2019")</f>
        <v/>
      </c>
      <c r="Y355">
        <f>HYPERLINK("https://klasma.github.io/Logging_2026/tillsynsmail/A 28876-2019.docx", "A 28876-2019")</f>
        <v/>
      </c>
    </row>
    <row r="356" ht="15" customHeight="1">
      <c r="A356" t="inlineStr">
        <is>
          <t>A 39475-2019</t>
        </is>
      </c>
      <c r="B356" s="1" t="n">
        <v>43691</v>
      </c>
      <c r="C356" s="1" t="n">
        <v>45210</v>
      </c>
      <c r="D356" t="inlineStr">
        <is>
          <t>DALARNAS LÄN</t>
        </is>
      </c>
      <c r="E356" t="inlineStr">
        <is>
          <t>MALUNG-SÄLEN</t>
        </is>
      </c>
      <c r="G356" t="n">
        <v>4.4</v>
      </c>
      <c r="H356" t="n">
        <v>1</v>
      </c>
      <c r="I356" t="n">
        <v>0</v>
      </c>
      <c r="J356" t="n">
        <v>0</v>
      </c>
      <c r="K356" t="n">
        <v>0</v>
      </c>
      <c r="L356" t="n">
        <v>0</v>
      </c>
      <c r="M356" t="n">
        <v>0</v>
      </c>
      <c r="N356" t="n">
        <v>0</v>
      </c>
      <c r="O356" t="n">
        <v>0</v>
      </c>
      <c r="P356" t="n">
        <v>0</v>
      </c>
      <c r="Q356" t="n">
        <v>1</v>
      </c>
      <c r="R356" s="2" t="inlineStr">
        <is>
          <t>Nattviol</t>
        </is>
      </c>
      <c r="S356">
        <f>HYPERLINK("https://klasma.github.io/Logging_2023/artfynd/A 39475-2019.xlsx", "A 39475-2019")</f>
        <v/>
      </c>
      <c r="T356">
        <f>HYPERLINK("https://klasma.github.io/Logging_2023/kartor/A 39475-2019.png", "A 39475-2019")</f>
        <v/>
      </c>
      <c r="V356">
        <f>HYPERLINK("https://klasma.github.io/Logging_2023/klagomål/A 39475-2019.docx", "A 39475-2019")</f>
        <v/>
      </c>
      <c r="W356">
        <f>HYPERLINK("https://klasma.github.io/Logging_2023/klagomålsmail/A 39475-2019.docx", "A 39475-2019")</f>
        <v/>
      </c>
      <c r="X356">
        <f>HYPERLINK("https://klasma.github.io/Logging_2023/tillsyn/A 39475-2019.docx", "A 39475-2019")</f>
        <v/>
      </c>
      <c r="Y356">
        <f>HYPERLINK("https://klasma.github.io/Logging_2023/tillsynsmail/A 39475-2019.docx", "A 39475-2019")</f>
        <v/>
      </c>
    </row>
    <row r="357" ht="15" customHeight="1">
      <c r="A357" t="inlineStr">
        <is>
          <t>A 43002-2019</t>
        </is>
      </c>
      <c r="B357" s="1" t="n">
        <v>43705</v>
      </c>
      <c r="C357" s="1" t="n">
        <v>45210</v>
      </c>
      <c r="D357" t="inlineStr">
        <is>
          <t>DALARNAS LÄN</t>
        </is>
      </c>
      <c r="E357" t="inlineStr">
        <is>
          <t>RÄTTVIK</t>
        </is>
      </c>
      <c r="G357" t="n">
        <v>22.6</v>
      </c>
      <c r="H357" t="n">
        <v>0</v>
      </c>
      <c r="I357" t="n">
        <v>0</v>
      </c>
      <c r="J357" t="n">
        <v>1</v>
      </c>
      <c r="K357" t="n">
        <v>0</v>
      </c>
      <c r="L357" t="n">
        <v>0</v>
      </c>
      <c r="M357" t="n">
        <v>0</v>
      </c>
      <c r="N357" t="n">
        <v>0</v>
      </c>
      <c r="O357" t="n">
        <v>1</v>
      </c>
      <c r="P357" t="n">
        <v>0</v>
      </c>
      <c r="Q357" t="n">
        <v>1</v>
      </c>
      <c r="R357" s="2" t="inlineStr">
        <is>
          <t>Mörk kolflarnlav</t>
        </is>
      </c>
      <c r="S357">
        <f>HYPERLINK("https://klasma.github.io/Logging_2031/artfynd/A 43002-2019.xlsx", "A 43002-2019")</f>
        <v/>
      </c>
      <c r="T357">
        <f>HYPERLINK("https://klasma.github.io/Logging_2031/kartor/A 43002-2019.png", "A 43002-2019")</f>
        <v/>
      </c>
      <c r="V357">
        <f>HYPERLINK("https://klasma.github.io/Logging_2031/klagomål/A 43002-2019.docx", "A 43002-2019")</f>
        <v/>
      </c>
      <c r="W357">
        <f>HYPERLINK("https://klasma.github.io/Logging_2031/klagomålsmail/A 43002-2019.docx", "A 43002-2019")</f>
        <v/>
      </c>
      <c r="X357">
        <f>HYPERLINK("https://klasma.github.io/Logging_2031/tillsyn/A 43002-2019.docx", "A 43002-2019")</f>
        <v/>
      </c>
      <c r="Y357">
        <f>HYPERLINK("https://klasma.github.io/Logging_2031/tillsynsmail/A 43002-2019.docx", "A 43002-2019")</f>
        <v/>
      </c>
    </row>
    <row r="358" ht="15" customHeight="1">
      <c r="A358" t="inlineStr">
        <is>
          <t>A 43858-2019</t>
        </is>
      </c>
      <c r="B358" s="1" t="n">
        <v>43707</v>
      </c>
      <c r="C358" s="1" t="n">
        <v>45210</v>
      </c>
      <c r="D358" t="inlineStr">
        <is>
          <t>DALARNAS LÄN</t>
        </is>
      </c>
      <c r="E358" t="inlineStr">
        <is>
          <t>SMEDJEBACKEN</t>
        </is>
      </c>
      <c r="G358" t="n">
        <v>2</v>
      </c>
      <c r="H358" t="n">
        <v>0</v>
      </c>
      <c r="I358" t="n">
        <v>1</v>
      </c>
      <c r="J358" t="n">
        <v>0</v>
      </c>
      <c r="K358" t="n">
        <v>0</v>
      </c>
      <c r="L358" t="n">
        <v>0</v>
      </c>
      <c r="M358" t="n">
        <v>0</v>
      </c>
      <c r="N358" t="n">
        <v>0</v>
      </c>
      <c r="O358" t="n">
        <v>0</v>
      </c>
      <c r="P358" t="n">
        <v>0</v>
      </c>
      <c r="Q358" t="n">
        <v>1</v>
      </c>
      <c r="R358" s="2" t="inlineStr">
        <is>
          <t>Sotlav</t>
        </is>
      </c>
      <c r="S358">
        <f>HYPERLINK("https://klasma.github.io/Logging_2061/artfynd/A 43858-2019.xlsx", "A 43858-2019")</f>
        <v/>
      </c>
      <c r="T358">
        <f>HYPERLINK("https://klasma.github.io/Logging_2061/kartor/A 43858-2019.png", "A 43858-2019")</f>
        <v/>
      </c>
      <c r="V358">
        <f>HYPERLINK("https://klasma.github.io/Logging_2061/klagomål/A 43858-2019.docx", "A 43858-2019")</f>
        <v/>
      </c>
      <c r="W358">
        <f>HYPERLINK("https://klasma.github.io/Logging_2061/klagomålsmail/A 43858-2019.docx", "A 43858-2019")</f>
        <v/>
      </c>
      <c r="X358">
        <f>HYPERLINK("https://klasma.github.io/Logging_2061/tillsyn/A 43858-2019.docx", "A 43858-2019")</f>
        <v/>
      </c>
      <c r="Y358">
        <f>HYPERLINK("https://klasma.github.io/Logging_2061/tillsynsmail/A 43858-2019.docx", "A 43858-2019")</f>
        <v/>
      </c>
    </row>
    <row r="359" ht="15" customHeight="1">
      <c r="A359" t="inlineStr">
        <is>
          <t>A 57073-2019</t>
        </is>
      </c>
      <c r="B359" s="1" t="n">
        <v>43766</v>
      </c>
      <c r="C359" s="1" t="n">
        <v>45210</v>
      </c>
      <c r="D359" t="inlineStr">
        <is>
          <t>DALARNAS LÄN</t>
        </is>
      </c>
      <c r="E359" t="inlineStr">
        <is>
          <t>SMEDJEBACKEN</t>
        </is>
      </c>
      <c r="F359" t="inlineStr">
        <is>
          <t>Sveaskog</t>
        </is>
      </c>
      <c r="G359" t="n">
        <v>1.1</v>
      </c>
      <c r="H359" t="n">
        <v>0</v>
      </c>
      <c r="I359" t="n">
        <v>0</v>
      </c>
      <c r="J359" t="n">
        <v>1</v>
      </c>
      <c r="K359" t="n">
        <v>0</v>
      </c>
      <c r="L359" t="n">
        <v>0</v>
      </c>
      <c r="M359" t="n">
        <v>0</v>
      </c>
      <c r="N359" t="n">
        <v>0</v>
      </c>
      <c r="O359" t="n">
        <v>1</v>
      </c>
      <c r="P359" t="n">
        <v>0</v>
      </c>
      <c r="Q359" t="n">
        <v>1</v>
      </c>
      <c r="R359" s="2" t="inlineStr">
        <is>
          <t>Vedtrappmossa</t>
        </is>
      </c>
      <c r="S359">
        <f>HYPERLINK("https://klasma.github.io/Logging_2061/artfynd/A 57073-2019.xlsx", "A 57073-2019")</f>
        <v/>
      </c>
      <c r="T359">
        <f>HYPERLINK("https://klasma.github.io/Logging_2061/kartor/A 57073-2019.png", "A 57073-2019")</f>
        <v/>
      </c>
      <c r="V359">
        <f>HYPERLINK("https://klasma.github.io/Logging_2061/klagomål/A 57073-2019.docx", "A 57073-2019")</f>
        <v/>
      </c>
      <c r="W359">
        <f>HYPERLINK("https://klasma.github.io/Logging_2061/klagomålsmail/A 57073-2019.docx", "A 57073-2019")</f>
        <v/>
      </c>
      <c r="X359">
        <f>HYPERLINK("https://klasma.github.io/Logging_2061/tillsyn/A 57073-2019.docx", "A 57073-2019")</f>
        <v/>
      </c>
      <c r="Y359">
        <f>HYPERLINK("https://klasma.github.io/Logging_2061/tillsynsmail/A 57073-2019.docx", "A 57073-2019")</f>
        <v/>
      </c>
    </row>
    <row r="360" ht="15" customHeight="1">
      <c r="A360" t="inlineStr">
        <is>
          <t>A 60407-2019</t>
        </is>
      </c>
      <c r="B360" s="1" t="n">
        <v>43780</v>
      </c>
      <c r="C360" s="1" t="n">
        <v>45210</v>
      </c>
      <c r="D360" t="inlineStr">
        <is>
          <t>DALARNAS LÄN</t>
        </is>
      </c>
      <c r="E360" t="inlineStr">
        <is>
          <t>SMEDJEBACKEN</t>
        </is>
      </c>
      <c r="G360" t="n">
        <v>1.3</v>
      </c>
      <c r="H360" t="n">
        <v>0</v>
      </c>
      <c r="I360" t="n">
        <v>1</v>
      </c>
      <c r="J360" t="n">
        <v>0</v>
      </c>
      <c r="K360" t="n">
        <v>0</v>
      </c>
      <c r="L360" t="n">
        <v>0</v>
      </c>
      <c r="M360" t="n">
        <v>0</v>
      </c>
      <c r="N360" t="n">
        <v>0</v>
      </c>
      <c r="O360" t="n">
        <v>0</v>
      </c>
      <c r="P360" t="n">
        <v>0</v>
      </c>
      <c r="Q360" t="n">
        <v>1</v>
      </c>
      <c r="R360" s="2" t="inlineStr">
        <is>
          <t>Tibast</t>
        </is>
      </c>
      <c r="S360">
        <f>HYPERLINK("https://klasma.github.io/Logging_2061/artfynd/A 60407-2019.xlsx", "A 60407-2019")</f>
        <v/>
      </c>
      <c r="T360">
        <f>HYPERLINK("https://klasma.github.io/Logging_2061/kartor/A 60407-2019.png", "A 60407-2019")</f>
        <v/>
      </c>
      <c r="V360">
        <f>HYPERLINK("https://klasma.github.io/Logging_2061/klagomål/A 60407-2019.docx", "A 60407-2019")</f>
        <v/>
      </c>
      <c r="W360">
        <f>HYPERLINK("https://klasma.github.io/Logging_2061/klagomålsmail/A 60407-2019.docx", "A 60407-2019")</f>
        <v/>
      </c>
      <c r="X360">
        <f>HYPERLINK("https://klasma.github.io/Logging_2061/tillsyn/A 60407-2019.docx", "A 60407-2019")</f>
        <v/>
      </c>
      <c r="Y360">
        <f>HYPERLINK("https://klasma.github.io/Logging_2061/tillsynsmail/A 60407-2019.docx", "A 60407-2019")</f>
        <v/>
      </c>
    </row>
    <row r="361" ht="15" customHeight="1">
      <c r="A361" t="inlineStr">
        <is>
          <t>A 62206-2019</t>
        </is>
      </c>
      <c r="B361" s="1" t="n">
        <v>43788</v>
      </c>
      <c r="C361" s="1" t="n">
        <v>45210</v>
      </c>
      <c r="D361" t="inlineStr">
        <is>
          <t>DALARNAS LÄN</t>
        </is>
      </c>
      <c r="E361" t="inlineStr">
        <is>
          <t>MALUNG-SÄLEN</t>
        </is>
      </c>
      <c r="G361" t="n">
        <v>0.8</v>
      </c>
      <c r="H361" t="n">
        <v>0</v>
      </c>
      <c r="I361" t="n">
        <v>0</v>
      </c>
      <c r="J361" t="n">
        <v>1</v>
      </c>
      <c r="K361" t="n">
        <v>0</v>
      </c>
      <c r="L361" t="n">
        <v>0</v>
      </c>
      <c r="M361" t="n">
        <v>0</v>
      </c>
      <c r="N361" t="n">
        <v>0</v>
      </c>
      <c r="O361" t="n">
        <v>1</v>
      </c>
      <c r="P361" t="n">
        <v>0</v>
      </c>
      <c r="Q361" t="n">
        <v>1</v>
      </c>
      <c r="R361" s="2" t="inlineStr">
        <is>
          <t>Lunglav</t>
        </is>
      </c>
      <c r="S361">
        <f>HYPERLINK("https://klasma.github.io/Logging_2023/artfynd/A 62206-2019.xlsx", "A 62206-2019")</f>
        <v/>
      </c>
      <c r="T361">
        <f>HYPERLINK("https://klasma.github.io/Logging_2023/kartor/A 62206-2019.png", "A 62206-2019")</f>
        <v/>
      </c>
      <c r="V361">
        <f>HYPERLINK("https://klasma.github.io/Logging_2023/klagomål/A 62206-2019.docx", "A 62206-2019")</f>
        <v/>
      </c>
      <c r="W361">
        <f>HYPERLINK("https://klasma.github.io/Logging_2023/klagomålsmail/A 62206-2019.docx", "A 62206-2019")</f>
        <v/>
      </c>
      <c r="X361">
        <f>HYPERLINK("https://klasma.github.io/Logging_2023/tillsyn/A 62206-2019.docx", "A 62206-2019")</f>
        <v/>
      </c>
      <c r="Y361">
        <f>HYPERLINK("https://klasma.github.io/Logging_2023/tillsynsmail/A 62206-2019.docx", "A 62206-2019")</f>
        <v/>
      </c>
    </row>
    <row r="362" ht="15" customHeight="1">
      <c r="A362" t="inlineStr">
        <is>
          <t>A 66257-2019</t>
        </is>
      </c>
      <c r="B362" s="1" t="n">
        <v>43804</v>
      </c>
      <c r="C362" s="1" t="n">
        <v>45210</v>
      </c>
      <c r="D362" t="inlineStr">
        <is>
          <t>DALARNAS LÄN</t>
        </is>
      </c>
      <c r="E362" t="inlineStr">
        <is>
          <t>GAGNEF</t>
        </is>
      </c>
      <c r="G362" t="n">
        <v>14.7</v>
      </c>
      <c r="H362" t="n">
        <v>0</v>
      </c>
      <c r="I362" t="n">
        <v>0</v>
      </c>
      <c r="J362" t="n">
        <v>1</v>
      </c>
      <c r="K362" t="n">
        <v>0</v>
      </c>
      <c r="L362" t="n">
        <v>0</v>
      </c>
      <c r="M362" t="n">
        <v>0</v>
      </c>
      <c r="N362" t="n">
        <v>0</v>
      </c>
      <c r="O362" t="n">
        <v>1</v>
      </c>
      <c r="P362" t="n">
        <v>0</v>
      </c>
      <c r="Q362" t="n">
        <v>1</v>
      </c>
      <c r="R362" s="2" t="inlineStr">
        <is>
          <t>Garnlav</t>
        </is>
      </c>
      <c r="S362">
        <f>HYPERLINK("https://klasma.github.io/Logging_2026/artfynd/A 66257-2019.xlsx", "A 66257-2019")</f>
        <v/>
      </c>
      <c r="T362">
        <f>HYPERLINK("https://klasma.github.io/Logging_2026/kartor/A 66257-2019.png", "A 66257-2019")</f>
        <v/>
      </c>
      <c r="V362">
        <f>HYPERLINK("https://klasma.github.io/Logging_2026/klagomål/A 66257-2019.docx", "A 66257-2019")</f>
        <v/>
      </c>
      <c r="W362">
        <f>HYPERLINK("https://klasma.github.io/Logging_2026/klagomålsmail/A 66257-2019.docx", "A 66257-2019")</f>
        <v/>
      </c>
      <c r="X362">
        <f>HYPERLINK("https://klasma.github.io/Logging_2026/tillsyn/A 66257-2019.docx", "A 66257-2019")</f>
        <v/>
      </c>
      <c r="Y362">
        <f>HYPERLINK("https://klasma.github.io/Logging_2026/tillsynsmail/A 66257-2019.docx", "A 66257-2019")</f>
        <v/>
      </c>
    </row>
    <row r="363" ht="15" customHeight="1">
      <c r="A363" t="inlineStr">
        <is>
          <t>A 4998-2020</t>
        </is>
      </c>
      <c r="B363" s="1" t="n">
        <v>43859</v>
      </c>
      <c r="C363" s="1" t="n">
        <v>45210</v>
      </c>
      <c r="D363" t="inlineStr">
        <is>
          <t>DALARNAS LÄN</t>
        </is>
      </c>
      <c r="E363" t="inlineStr">
        <is>
          <t>AVESTA</t>
        </is>
      </c>
      <c r="G363" t="n">
        <v>5.3</v>
      </c>
      <c r="H363" t="n">
        <v>1</v>
      </c>
      <c r="I363" t="n">
        <v>0</v>
      </c>
      <c r="J363" t="n">
        <v>0</v>
      </c>
      <c r="K363" t="n">
        <v>1</v>
      </c>
      <c r="L363" t="n">
        <v>0</v>
      </c>
      <c r="M363" t="n">
        <v>0</v>
      </c>
      <c r="N363" t="n">
        <v>0</v>
      </c>
      <c r="O363" t="n">
        <v>1</v>
      </c>
      <c r="P363" t="n">
        <v>1</v>
      </c>
      <c r="Q363" t="n">
        <v>1</v>
      </c>
      <c r="R363" s="2" t="inlineStr">
        <is>
          <t>Knärot</t>
        </is>
      </c>
      <c r="S363">
        <f>HYPERLINK("https://klasma.github.io/Logging_2084/artfynd/A 4998-2020.xlsx", "A 4998-2020")</f>
        <v/>
      </c>
      <c r="T363">
        <f>HYPERLINK("https://klasma.github.io/Logging_2084/kartor/A 4998-2020.png", "A 4998-2020")</f>
        <v/>
      </c>
      <c r="U363">
        <f>HYPERLINK("https://klasma.github.io/Logging_2084/knärot/A 4998-2020.png", "A 4998-2020")</f>
        <v/>
      </c>
      <c r="V363">
        <f>HYPERLINK("https://klasma.github.io/Logging_2084/klagomål/A 4998-2020.docx", "A 4998-2020")</f>
        <v/>
      </c>
      <c r="W363">
        <f>HYPERLINK("https://klasma.github.io/Logging_2084/klagomålsmail/A 4998-2020.docx", "A 4998-2020")</f>
        <v/>
      </c>
      <c r="X363">
        <f>HYPERLINK("https://klasma.github.io/Logging_2084/tillsyn/A 4998-2020.docx", "A 4998-2020")</f>
        <v/>
      </c>
      <c r="Y363">
        <f>HYPERLINK("https://klasma.github.io/Logging_2084/tillsynsmail/A 4998-2020.docx", "A 4998-2020")</f>
        <v/>
      </c>
    </row>
    <row r="364" ht="15" customHeight="1">
      <c r="A364" t="inlineStr">
        <is>
          <t>A 7849-2020</t>
        </is>
      </c>
      <c r="B364" s="1" t="n">
        <v>43873</v>
      </c>
      <c r="C364" s="1" t="n">
        <v>45210</v>
      </c>
      <c r="D364" t="inlineStr">
        <is>
          <t>DALARNAS LÄN</t>
        </is>
      </c>
      <c r="E364" t="inlineStr">
        <is>
          <t>LUDVIKA</t>
        </is>
      </c>
      <c r="F364" t="inlineStr">
        <is>
          <t>Naturvårdsverket</t>
        </is>
      </c>
      <c r="G364" t="n">
        <v>1.3</v>
      </c>
      <c r="H364" t="n">
        <v>1</v>
      </c>
      <c r="I364" t="n">
        <v>0</v>
      </c>
      <c r="J364" t="n">
        <v>0</v>
      </c>
      <c r="K364" t="n">
        <v>1</v>
      </c>
      <c r="L364" t="n">
        <v>0</v>
      </c>
      <c r="M364" t="n">
        <v>0</v>
      </c>
      <c r="N364" t="n">
        <v>0</v>
      </c>
      <c r="O364" t="n">
        <v>1</v>
      </c>
      <c r="P364" t="n">
        <v>1</v>
      </c>
      <c r="Q364" t="n">
        <v>1</v>
      </c>
      <c r="R364" s="2" t="inlineStr">
        <is>
          <t>Knärot</t>
        </is>
      </c>
      <c r="S364">
        <f>HYPERLINK("https://klasma.github.io/Logging_2085/artfynd/A 7849-2020.xlsx", "A 7849-2020")</f>
        <v/>
      </c>
      <c r="T364">
        <f>HYPERLINK("https://klasma.github.io/Logging_2085/kartor/A 7849-2020.png", "A 7849-2020")</f>
        <v/>
      </c>
      <c r="U364">
        <f>HYPERLINK("https://klasma.github.io/Logging_2085/knärot/A 7849-2020.png", "A 7849-2020")</f>
        <v/>
      </c>
      <c r="V364">
        <f>HYPERLINK("https://klasma.github.io/Logging_2085/klagomål/A 7849-2020.docx", "A 7849-2020")</f>
        <v/>
      </c>
      <c r="W364">
        <f>HYPERLINK("https://klasma.github.io/Logging_2085/klagomålsmail/A 7849-2020.docx", "A 7849-2020")</f>
        <v/>
      </c>
      <c r="X364">
        <f>HYPERLINK("https://klasma.github.io/Logging_2085/tillsyn/A 7849-2020.docx", "A 7849-2020")</f>
        <v/>
      </c>
      <c r="Y364">
        <f>HYPERLINK("https://klasma.github.io/Logging_2085/tillsynsmail/A 7849-2020.docx", "A 7849-2020")</f>
        <v/>
      </c>
    </row>
    <row r="365" ht="15" customHeight="1">
      <c r="A365" t="inlineStr">
        <is>
          <t>A 9058-2020</t>
        </is>
      </c>
      <c r="B365" s="1" t="n">
        <v>43879</v>
      </c>
      <c r="C365" s="1" t="n">
        <v>45210</v>
      </c>
      <c r="D365" t="inlineStr">
        <is>
          <t>DALARNAS LÄN</t>
        </is>
      </c>
      <c r="E365" t="inlineStr">
        <is>
          <t>HEDEMORA</t>
        </is>
      </c>
      <c r="G365" t="n">
        <v>0.5</v>
      </c>
      <c r="H365" t="n">
        <v>0</v>
      </c>
      <c r="I365" t="n">
        <v>1</v>
      </c>
      <c r="J365" t="n">
        <v>0</v>
      </c>
      <c r="K365" t="n">
        <v>0</v>
      </c>
      <c r="L365" t="n">
        <v>0</v>
      </c>
      <c r="M365" t="n">
        <v>0</v>
      </c>
      <c r="N365" t="n">
        <v>0</v>
      </c>
      <c r="O365" t="n">
        <v>0</v>
      </c>
      <c r="P365" t="n">
        <v>0</v>
      </c>
      <c r="Q365" t="n">
        <v>1</v>
      </c>
      <c r="R365" s="2" t="inlineStr">
        <is>
          <t>Tibast</t>
        </is>
      </c>
      <c r="S365">
        <f>HYPERLINK("https://klasma.github.io/Logging_2083/artfynd/A 9058-2020.xlsx", "A 9058-2020")</f>
        <v/>
      </c>
      <c r="T365">
        <f>HYPERLINK("https://klasma.github.io/Logging_2083/kartor/A 9058-2020.png", "A 9058-2020")</f>
        <v/>
      </c>
      <c r="V365">
        <f>HYPERLINK("https://klasma.github.io/Logging_2083/klagomål/A 9058-2020.docx", "A 9058-2020")</f>
        <v/>
      </c>
      <c r="W365">
        <f>HYPERLINK("https://klasma.github.io/Logging_2083/klagomålsmail/A 9058-2020.docx", "A 9058-2020")</f>
        <v/>
      </c>
      <c r="X365">
        <f>HYPERLINK("https://klasma.github.io/Logging_2083/tillsyn/A 9058-2020.docx", "A 9058-2020")</f>
        <v/>
      </c>
      <c r="Y365">
        <f>HYPERLINK("https://klasma.github.io/Logging_2083/tillsynsmail/A 9058-2020.docx", "A 9058-2020")</f>
        <v/>
      </c>
    </row>
    <row r="366" ht="15" customHeight="1">
      <c r="A366" t="inlineStr">
        <is>
          <t>A 9056-2020</t>
        </is>
      </c>
      <c r="B366" s="1" t="n">
        <v>43879</v>
      </c>
      <c r="C366" s="1" t="n">
        <v>45210</v>
      </c>
      <c r="D366" t="inlineStr">
        <is>
          <t>DALARNAS LÄN</t>
        </is>
      </c>
      <c r="E366" t="inlineStr">
        <is>
          <t>HEDEMORA</t>
        </is>
      </c>
      <c r="G366" t="n">
        <v>1.4</v>
      </c>
      <c r="H366" t="n">
        <v>0</v>
      </c>
      <c r="I366" t="n">
        <v>0</v>
      </c>
      <c r="J366" t="n">
        <v>1</v>
      </c>
      <c r="K366" t="n">
        <v>0</v>
      </c>
      <c r="L366" t="n">
        <v>0</v>
      </c>
      <c r="M366" t="n">
        <v>0</v>
      </c>
      <c r="N366" t="n">
        <v>0</v>
      </c>
      <c r="O366" t="n">
        <v>1</v>
      </c>
      <c r="P366" t="n">
        <v>0</v>
      </c>
      <c r="Q366" t="n">
        <v>1</v>
      </c>
      <c r="R366" s="2" t="inlineStr">
        <is>
          <t>Garnlav</t>
        </is>
      </c>
      <c r="S366">
        <f>HYPERLINK("https://klasma.github.io/Logging_2083/artfynd/A 9056-2020.xlsx", "A 9056-2020")</f>
        <v/>
      </c>
      <c r="T366">
        <f>HYPERLINK("https://klasma.github.io/Logging_2083/kartor/A 9056-2020.png", "A 9056-2020")</f>
        <v/>
      </c>
      <c r="V366">
        <f>HYPERLINK("https://klasma.github.io/Logging_2083/klagomål/A 9056-2020.docx", "A 9056-2020")</f>
        <v/>
      </c>
      <c r="W366">
        <f>HYPERLINK("https://klasma.github.io/Logging_2083/klagomålsmail/A 9056-2020.docx", "A 9056-2020")</f>
        <v/>
      </c>
      <c r="X366">
        <f>HYPERLINK("https://klasma.github.io/Logging_2083/tillsyn/A 9056-2020.docx", "A 9056-2020")</f>
        <v/>
      </c>
      <c r="Y366">
        <f>HYPERLINK("https://klasma.github.io/Logging_2083/tillsynsmail/A 9056-2020.docx", "A 9056-2020")</f>
        <v/>
      </c>
    </row>
    <row r="367" ht="15" customHeight="1">
      <c r="A367" t="inlineStr">
        <is>
          <t>A 11129-2020</t>
        </is>
      </c>
      <c r="B367" s="1" t="n">
        <v>43889</v>
      </c>
      <c r="C367" s="1" t="n">
        <v>45210</v>
      </c>
      <c r="D367" t="inlineStr">
        <is>
          <t>DALARNAS LÄN</t>
        </is>
      </c>
      <c r="E367" t="inlineStr">
        <is>
          <t>HEDEMORA</t>
        </is>
      </c>
      <c r="G367" t="n">
        <v>2.1</v>
      </c>
      <c r="H367" t="n">
        <v>0</v>
      </c>
      <c r="I367" t="n">
        <v>1</v>
      </c>
      <c r="J367" t="n">
        <v>0</v>
      </c>
      <c r="K367" t="n">
        <v>0</v>
      </c>
      <c r="L367" t="n">
        <v>0</v>
      </c>
      <c r="M367" t="n">
        <v>0</v>
      </c>
      <c r="N367" t="n">
        <v>0</v>
      </c>
      <c r="O367" t="n">
        <v>0</v>
      </c>
      <c r="P367" t="n">
        <v>0</v>
      </c>
      <c r="Q367" t="n">
        <v>1</v>
      </c>
      <c r="R367" s="2" t="inlineStr">
        <is>
          <t>Bollvitmossa</t>
        </is>
      </c>
      <c r="S367">
        <f>HYPERLINK("https://klasma.github.io/Logging_2083/artfynd/A 11129-2020.xlsx", "A 11129-2020")</f>
        <v/>
      </c>
      <c r="T367">
        <f>HYPERLINK("https://klasma.github.io/Logging_2083/kartor/A 11129-2020.png", "A 11129-2020")</f>
        <v/>
      </c>
      <c r="V367">
        <f>HYPERLINK("https://klasma.github.io/Logging_2083/klagomål/A 11129-2020.docx", "A 11129-2020")</f>
        <v/>
      </c>
      <c r="W367">
        <f>HYPERLINK("https://klasma.github.io/Logging_2083/klagomålsmail/A 11129-2020.docx", "A 11129-2020")</f>
        <v/>
      </c>
      <c r="X367">
        <f>HYPERLINK("https://klasma.github.io/Logging_2083/tillsyn/A 11129-2020.docx", "A 11129-2020")</f>
        <v/>
      </c>
      <c r="Y367">
        <f>HYPERLINK("https://klasma.github.io/Logging_2083/tillsynsmail/A 11129-2020.docx", "A 11129-2020")</f>
        <v/>
      </c>
    </row>
    <row r="368" ht="15" customHeight="1">
      <c r="A368" t="inlineStr">
        <is>
          <t>A 12761-2020</t>
        </is>
      </c>
      <c r="B368" s="1" t="n">
        <v>43899</v>
      </c>
      <c r="C368" s="1" t="n">
        <v>45210</v>
      </c>
      <c r="D368" t="inlineStr">
        <is>
          <t>DALARNAS LÄN</t>
        </is>
      </c>
      <c r="E368" t="inlineStr">
        <is>
          <t>MALUNG-SÄLEN</t>
        </is>
      </c>
      <c r="G368" t="n">
        <v>1.4</v>
      </c>
      <c r="H368" t="n">
        <v>0</v>
      </c>
      <c r="I368" t="n">
        <v>0</v>
      </c>
      <c r="J368" t="n">
        <v>1</v>
      </c>
      <c r="K368" t="n">
        <v>0</v>
      </c>
      <c r="L368" t="n">
        <v>0</v>
      </c>
      <c r="M368" t="n">
        <v>0</v>
      </c>
      <c r="N368" t="n">
        <v>0</v>
      </c>
      <c r="O368" t="n">
        <v>1</v>
      </c>
      <c r="P368" t="n">
        <v>0</v>
      </c>
      <c r="Q368" t="n">
        <v>1</v>
      </c>
      <c r="R368" s="2" t="inlineStr">
        <is>
          <t>Motaggsvamp</t>
        </is>
      </c>
      <c r="S368">
        <f>HYPERLINK("https://klasma.github.io/Logging_2023/artfynd/A 12761-2020.xlsx", "A 12761-2020")</f>
        <v/>
      </c>
      <c r="T368">
        <f>HYPERLINK("https://klasma.github.io/Logging_2023/kartor/A 12761-2020.png", "A 12761-2020")</f>
        <v/>
      </c>
      <c r="V368">
        <f>HYPERLINK("https://klasma.github.io/Logging_2023/klagomål/A 12761-2020.docx", "A 12761-2020")</f>
        <v/>
      </c>
      <c r="W368">
        <f>HYPERLINK("https://klasma.github.io/Logging_2023/klagomålsmail/A 12761-2020.docx", "A 12761-2020")</f>
        <v/>
      </c>
      <c r="X368">
        <f>HYPERLINK("https://klasma.github.io/Logging_2023/tillsyn/A 12761-2020.docx", "A 12761-2020")</f>
        <v/>
      </c>
      <c r="Y368">
        <f>HYPERLINK("https://klasma.github.io/Logging_2023/tillsynsmail/A 12761-2020.docx", "A 12761-2020")</f>
        <v/>
      </c>
    </row>
    <row r="369" ht="15" customHeight="1">
      <c r="A369" t="inlineStr">
        <is>
          <t>A 15755-2020</t>
        </is>
      </c>
      <c r="B369" s="1" t="n">
        <v>43915</v>
      </c>
      <c r="C369" s="1" t="n">
        <v>45210</v>
      </c>
      <c r="D369" t="inlineStr">
        <is>
          <t>DALARNAS LÄN</t>
        </is>
      </c>
      <c r="E369" t="inlineStr">
        <is>
          <t>HEDEMORA</t>
        </is>
      </c>
      <c r="G369" t="n">
        <v>0.6</v>
      </c>
      <c r="H369" t="n">
        <v>0</v>
      </c>
      <c r="I369" t="n">
        <v>0</v>
      </c>
      <c r="J369" t="n">
        <v>1</v>
      </c>
      <c r="K369" t="n">
        <v>0</v>
      </c>
      <c r="L369" t="n">
        <v>0</v>
      </c>
      <c r="M369" t="n">
        <v>0</v>
      </c>
      <c r="N369" t="n">
        <v>0</v>
      </c>
      <c r="O369" t="n">
        <v>1</v>
      </c>
      <c r="P369" t="n">
        <v>0</v>
      </c>
      <c r="Q369" t="n">
        <v>1</v>
      </c>
      <c r="R369" s="2" t="inlineStr">
        <is>
          <t>Svart taggsvamp</t>
        </is>
      </c>
      <c r="S369">
        <f>HYPERLINK("https://klasma.github.io/Logging_2083/artfynd/A 15755-2020.xlsx", "A 15755-2020")</f>
        <v/>
      </c>
      <c r="T369">
        <f>HYPERLINK("https://klasma.github.io/Logging_2083/kartor/A 15755-2020.png", "A 15755-2020")</f>
        <v/>
      </c>
      <c r="V369">
        <f>HYPERLINK("https://klasma.github.io/Logging_2083/klagomål/A 15755-2020.docx", "A 15755-2020")</f>
        <v/>
      </c>
      <c r="W369">
        <f>HYPERLINK("https://klasma.github.io/Logging_2083/klagomålsmail/A 15755-2020.docx", "A 15755-2020")</f>
        <v/>
      </c>
      <c r="X369">
        <f>HYPERLINK("https://klasma.github.io/Logging_2083/tillsyn/A 15755-2020.docx", "A 15755-2020")</f>
        <v/>
      </c>
      <c r="Y369">
        <f>HYPERLINK("https://klasma.github.io/Logging_2083/tillsynsmail/A 15755-2020.docx", "A 15755-2020")</f>
        <v/>
      </c>
    </row>
    <row r="370" ht="15" customHeight="1">
      <c r="A370" t="inlineStr">
        <is>
          <t>A 18227-2020</t>
        </is>
      </c>
      <c r="B370" s="1" t="n">
        <v>43928</v>
      </c>
      <c r="C370" s="1" t="n">
        <v>45210</v>
      </c>
      <c r="D370" t="inlineStr">
        <is>
          <t>DALARNAS LÄN</t>
        </is>
      </c>
      <c r="E370" t="inlineStr">
        <is>
          <t>ÄLVDALEN</t>
        </is>
      </c>
      <c r="F370" t="inlineStr">
        <is>
          <t>Sveaskog</t>
        </is>
      </c>
      <c r="G370" t="n">
        <v>13.1</v>
      </c>
      <c r="H370" t="n">
        <v>1</v>
      </c>
      <c r="I370" t="n">
        <v>0</v>
      </c>
      <c r="J370" t="n">
        <v>1</v>
      </c>
      <c r="K370" t="n">
        <v>0</v>
      </c>
      <c r="L370" t="n">
        <v>0</v>
      </c>
      <c r="M370" t="n">
        <v>0</v>
      </c>
      <c r="N370" t="n">
        <v>0</v>
      </c>
      <c r="O370" t="n">
        <v>1</v>
      </c>
      <c r="P370" t="n">
        <v>0</v>
      </c>
      <c r="Q370" t="n">
        <v>1</v>
      </c>
      <c r="R370" s="2" t="inlineStr">
        <is>
          <t>Varglav</t>
        </is>
      </c>
      <c r="S370">
        <f>HYPERLINK("https://klasma.github.io/Logging_2039/artfynd/A 18227-2020.xlsx", "A 18227-2020")</f>
        <v/>
      </c>
      <c r="T370">
        <f>HYPERLINK("https://klasma.github.io/Logging_2039/kartor/A 18227-2020.png", "A 18227-2020")</f>
        <v/>
      </c>
      <c r="V370">
        <f>HYPERLINK("https://klasma.github.io/Logging_2039/klagomål/A 18227-2020.docx", "A 18227-2020")</f>
        <v/>
      </c>
      <c r="W370">
        <f>HYPERLINK("https://klasma.github.io/Logging_2039/klagomålsmail/A 18227-2020.docx", "A 18227-2020")</f>
        <v/>
      </c>
      <c r="X370">
        <f>HYPERLINK("https://klasma.github.io/Logging_2039/tillsyn/A 18227-2020.docx", "A 18227-2020")</f>
        <v/>
      </c>
      <c r="Y370">
        <f>HYPERLINK("https://klasma.github.io/Logging_2039/tillsynsmail/A 18227-2020.docx", "A 18227-2020")</f>
        <v/>
      </c>
    </row>
    <row r="371" ht="15" customHeight="1">
      <c r="A371" t="inlineStr">
        <is>
          <t>A 19669-2020</t>
        </is>
      </c>
      <c r="B371" s="1" t="n">
        <v>43937</v>
      </c>
      <c r="C371" s="1" t="n">
        <v>45210</v>
      </c>
      <c r="D371" t="inlineStr">
        <is>
          <t>DALARNAS LÄN</t>
        </is>
      </c>
      <c r="E371" t="inlineStr">
        <is>
          <t>ÄLVDALEN</t>
        </is>
      </c>
      <c r="F371" t="inlineStr">
        <is>
          <t>Sveaskog</t>
        </is>
      </c>
      <c r="G371" t="n">
        <v>12.9</v>
      </c>
      <c r="H371" t="n">
        <v>1</v>
      </c>
      <c r="I371" t="n">
        <v>0</v>
      </c>
      <c r="J371" t="n">
        <v>1</v>
      </c>
      <c r="K371" t="n">
        <v>0</v>
      </c>
      <c r="L371" t="n">
        <v>0</v>
      </c>
      <c r="M371" t="n">
        <v>0</v>
      </c>
      <c r="N371" t="n">
        <v>0</v>
      </c>
      <c r="O371" t="n">
        <v>1</v>
      </c>
      <c r="P371" t="n">
        <v>0</v>
      </c>
      <c r="Q371" t="n">
        <v>1</v>
      </c>
      <c r="R371" s="2" t="inlineStr">
        <is>
          <t>Varglav</t>
        </is>
      </c>
      <c r="S371">
        <f>HYPERLINK("https://klasma.github.io/Logging_2039/artfynd/A 19669-2020.xlsx", "A 19669-2020")</f>
        <v/>
      </c>
      <c r="T371">
        <f>HYPERLINK("https://klasma.github.io/Logging_2039/kartor/A 19669-2020.png", "A 19669-2020")</f>
        <v/>
      </c>
      <c r="V371">
        <f>HYPERLINK("https://klasma.github.io/Logging_2039/klagomål/A 19669-2020.docx", "A 19669-2020")</f>
        <v/>
      </c>
      <c r="W371">
        <f>HYPERLINK("https://klasma.github.io/Logging_2039/klagomålsmail/A 19669-2020.docx", "A 19669-2020")</f>
        <v/>
      </c>
      <c r="X371">
        <f>HYPERLINK("https://klasma.github.io/Logging_2039/tillsyn/A 19669-2020.docx", "A 19669-2020")</f>
        <v/>
      </c>
      <c r="Y371">
        <f>HYPERLINK("https://klasma.github.io/Logging_2039/tillsynsmail/A 19669-2020.docx", "A 19669-2020")</f>
        <v/>
      </c>
    </row>
    <row r="372" ht="15" customHeight="1">
      <c r="A372" t="inlineStr">
        <is>
          <t>A 19759-2020</t>
        </is>
      </c>
      <c r="B372" s="1" t="n">
        <v>43942</v>
      </c>
      <c r="C372" s="1" t="n">
        <v>45210</v>
      </c>
      <c r="D372" t="inlineStr">
        <is>
          <t>DALARNAS LÄN</t>
        </is>
      </c>
      <c r="E372" t="inlineStr">
        <is>
          <t>MALUNG-SÄLEN</t>
        </is>
      </c>
      <c r="G372" t="n">
        <v>3.8</v>
      </c>
      <c r="H372" t="n">
        <v>1</v>
      </c>
      <c r="I372" t="n">
        <v>0</v>
      </c>
      <c r="J372" t="n">
        <v>0</v>
      </c>
      <c r="K372" t="n">
        <v>0</v>
      </c>
      <c r="L372" t="n">
        <v>1</v>
      </c>
      <c r="M372" t="n">
        <v>0</v>
      </c>
      <c r="N372" t="n">
        <v>0</v>
      </c>
      <c r="O372" t="n">
        <v>1</v>
      </c>
      <c r="P372" t="n">
        <v>1</v>
      </c>
      <c r="Q372" t="n">
        <v>1</v>
      </c>
      <c r="R372" s="2" t="inlineStr">
        <is>
          <t>Mosippa</t>
        </is>
      </c>
      <c r="S372">
        <f>HYPERLINK("https://klasma.github.io/Logging_2023/artfynd/A 19759-2020.xlsx", "A 19759-2020")</f>
        <v/>
      </c>
      <c r="T372">
        <f>HYPERLINK("https://klasma.github.io/Logging_2023/kartor/A 19759-2020.png", "A 19759-2020")</f>
        <v/>
      </c>
      <c r="V372">
        <f>HYPERLINK("https://klasma.github.io/Logging_2023/klagomål/A 19759-2020.docx", "A 19759-2020")</f>
        <v/>
      </c>
      <c r="W372">
        <f>HYPERLINK("https://klasma.github.io/Logging_2023/klagomålsmail/A 19759-2020.docx", "A 19759-2020")</f>
        <v/>
      </c>
      <c r="X372">
        <f>HYPERLINK("https://klasma.github.io/Logging_2023/tillsyn/A 19759-2020.docx", "A 19759-2020")</f>
        <v/>
      </c>
      <c r="Y372">
        <f>HYPERLINK("https://klasma.github.io/Logging_2023/tillsynsmail/A 19759-2020.docx", "A 19759-2020")</f>
        <v/>
      </c>
    </row>
    <row r="373" ht="15" customHeight="1">
      <c r="A373" t="inlineStr">
        <is>
          <t>A 23553-2020</t>
        </is>
      </c>
      <c r="B373" s="1" t="n">
        <v>43969</v>
      </c>
      <c r="C373" s="1" t="n">
        <v>45210</v>
      </c>
      <c r="D373" t="inlineStr">
        <is>
          <t>DALARNAS LÄN</t>
        </is>
      </c>
      <c r="E373" t="inlineStr">
        <is>
          <t>BORLÄNGE</t>
        </is>
      </c>
      <c r="F373" t="inlineStr">
        <is>
          <t>Bergvik skog väst AB</t>
        </is>
      </c>
      <c r="G373" t="n">
        <v>13</v>
      </c>
      <c r="H373" t="n">
        <v>1</v>
      </c>
      <c r="I373" t="n">
        <v>0</v>
      </c>
      <c r="J373" t="n">
        <v>0</v>
      </c>
      <c r="K373" t="n">
        <v>0</v>
      </c>
      <c r="L373" t="n">
        <v>0</v>
      </c>
      <c r="M373" t="n">
        <v>0</v>
      </c>
      <c r="N373" t="n">
        <v>0</v>
      </c>
      <c r="O373" t="n">
        <v>0</v>
      </c>
      <c r="P373" t="n">
        <v>0</v>
      </c>
      <c r="Q373" t="n">
        <v>1</v>
      </c>
      <c r="R373" s="2" t="inlineStr">
        <is>
          <t>Fläcknycklar</t>
        </is>
      </c>
      <c r="S373">
        <f>HYPERLINK("https://klasma.github.io/Logging_2081/artfynd/A 23553-2020.xlsx", "A 23553-2020")</f>
        <v/>
      </c>
      <c r="T373">
        <f>HYPERLINK("https://klasma.github.io/Logging_2081/kartor/A 23553-2020.png", "A 23553-2020")</f>
        <v/>
      </c>
      <c r="V373">
        <f>HYPERLINK("https://klasma.github.io/Logging_2081/klagomål/A 23553-2020.docx", "A 23553-2020")</f>
        <v/>
      </c>
      <c r="W373">
        <f>HYPERLINK("https://klasma.github.io/Logging_2081/klagomålsmail/A 23553-2020.docx", "A 23553-2020")</f>
        <v/>
      </c>
      <c r="X373">
        <f>HYPERLINK("https://klasma.github.io/Logging_2081/tillsyn/A 23553-2020.docx", "A 23553-2020")</f>
        <v/>
      </c>
      <c r="Y373">
        <f>HYPERLINK("https://klasma.github.io/Logging_2081/tillsynsmail/A 23553-2020.docx", "A 23553-2020")</f>
        <v/>
      </c>
    </row>
    <row r="374" ht="15" customHeight="1">
      <c r="A374" t="inlineStr">
        <is>
          <t>A 25590-2020</t>
        </is>
      </c>
      <c r="B374" s="1" t="n">
        <v>43983</v>
      </c>
      <c r="C374" s="1" t="n">
        <v>45210</v>
      </c>
      <c r="D374" t="inlineStr">
        <is>
          <t>DALARNAS LÄN</t>
        </is>
      </c>
      <c r="E374" t="inlineStr">
        <is>
          <t>MALUNG-SÄLEN</t>
        </is>
      </c>
      <c r="F374" t="inlineStr">
        <is>
          <t>Allmännings- och besparingsskogar</t>
        </is>
      </c>
      <c r="G374" t="n">
        <v>2.2</v>
      </c>
      <c r="H374" t="n">
        <v>1</v>
      </c>
      <c r="I374" t="n">
        <v>0</v>
      </c>
      <c r="J374" t="n">
        <v>1</v>
      </c>
      <c r="K374" t="n">
        <v>0</v>
      </c>
      <c r="L374" t="n">
        <v>0</v>
      </c>
      <c r="M374" t="n">
        <v>0</v>
      </c>
      <c r="N374" t="n">
        <v>0</v>
      </c>
      <c r="O374" t="n">
        <v>1</v>
      </c>
      <c r="P374" t="n">
        <v>0</v>
      </c>
      <c r="Q374" t="n">
        <v>1</v>
      </c>
      <c r="R374" s="2" t="inlineStr">
        <is>
          <t>Tretåig hackspett</t>
        </is>
      </c>
      <c r="S374">
        <f>HYPERLINK("https://klasma.github.io/Logging_2023/artfynd/A 25590-2020.xlsx", "A 25590-2020")</f>
        <v/>
      </c>
      <c r="T374">
        <f>HYPERLINK("https://klasma.github.io/Logging_2023/kartor/A 25590-2020.png", "A 25590-2020")</f>
        <v/>
      </c>
      <c r="V374">
        <f>HYPERLINK("https://klasma.github.io/Logging_2023/klagomål/A 25590-2020.docx", "A 25590-2020")</f>
        <v/>
      </c>
      <c r="W374">
        <f>HYPERLINK("https://klasma.github.io/Logging_2023/klagomålsmail/A 25590-2020.docx", "A 25590-2020")</f>
        <v/>
      </c>
      <c r="X374">
        <f>HYPERLINK("https://klasma.github.io/Logging_2023/tillsyn/A 25590-2020.docx", "A 25590-2020")</f>
        <v/>
      </c>
      <c r="Y374">
        <f>HYPERLINK("https://klasma.github.io/Logging_2023/tillsynsmail/A 25590-2020.docx", "A 25590-2020")</f>
        <v/>
      </c>
    </row>
    <row r="375" ht="15" customHeight="1">
      <c r="A375" t="inlineStr">
        <is>
          <t>A 26557-2020</t>
        </is>
      </c>
      <c r="B375" s="1" t="n">
        <v>43987</v>
      </c>
      <c r="C375" s="1" t="n">
        <v>45210</v>
      </c>
      <c r="D375" t="inlineStr">
        <is>
          <t>DALARNAS LÄN</t>
        </is>
      </c>
      <c r="E375" t="inlineStr">
        <is>
          <t>MALUNG-SÄLEN</t>
        </is>
      </c>
      <c r="F375" t="inlineStr">
        <is>
          <t>Allmännings- och besparingsskogar</t>
        </is>
      </c>
      <c r="G375" t="n">
        <v>30.5</v>
      </c>
      <c r="H375" t="n">
        <v>1</v>
      </c>
      <c r="I375" t="n">
        <v>0</v>
      </c>
      <c r="J375" t="n">
        <v>0</v>
      </c>
      <c r="K375" t="n">
        <v>0</v>
      </c>
      <c r="L375" t="n">
        <v>0</v>
      </c>
      <c r="M375" t="n">
        <v>0</v>
      </c>
      <c r="N375" t="n">
        <v>0</v>
      </c>
      <c r="O375" t="n">
        <v>0</v>
      </c>
      <c r="P375" t="n">
        <v>0</v>
      </c>
      <c r="Q375" t="n">
        <v>1</v>
      </c>
      <c r="R375" s="2" t="inlineStr">
        <is>
          <t>Fläcknycklar</t>
        </is>
      </c>
      <c r="S375">
        <f>HYPERLINK("https://klasma.github.io/Logging_2023/artfynd/A 26557-2020.xlsx", "A 26557-2020")</f>
        <v/>
      </c>
      <c r="T375">
        <f>HYPERLINK("https://klasma.github.io/Logging_2023/kartor/A 26557-2020.png", "A 26557-2020")</f>
        <v/>
      </c>
      <c r="V375">
        <f>HYPERLINK("https://klasma.github.io/Logging_2023/klagomål/A 26557-2020.docx", "A 26557-2020")</f>
        <v/>
      </c>
      <c r="W375">
        <f>HYPERLINK("https://klasma.github.io/Logging_2023/klagomålsmail/A 26557-2020.docx", "A 26557-2020")</f>
        <v/>
      </c>
      <c r="X375">
        <f>HYPERLINK("https://klasma.github.io/Logging_2023/tillsyn/A 26557-2020.docx", "A 26557-2020")</f>
        <v/>
      </c>
      <c r="Y375">
        <f>HYPERLINK("https://klasma.github.io/Logging_2023/tillsynsmail/A 26557-2020.docx", "A 26557-2020")</f>
        <v/>
      </c>
    </row>
    <row r="376" ht="15" customHeight="1">
      <c r="A376" t="inlineStr">
        <is>
          <t>A 33248-2020</t>
        </is>
      </c>
      <c r="B376" s="1" t="n">
        <v>44021</v>
      </c>
      <c r="C376" s="1" t="n">
        <v>45210</v>
      </c>
      <c r="D376" t="inlineStr">
        <is>
          <t>DALARNAS LÄN</t>
        </is>
      </c>
      <c r="E376" t="inlineStr">
        <is>
          <t>FALUN</t>
        </is>
      </c>
      <c r="F376" t="inlineStr">
        <is>
          <t>Allmännings- och besparingsskogar</t>
        </is>
      </c>
      <c r="G376" t="n">
        <v>13.8</v>
      </c>
      <c r="H376" t="n">
        <v>0</v>
      </c>
      <c r="I376" t="n">
        <v>0</v>
      </c>
      <c r="J376" t="n">
        <v>1</v>
      </c>
      <c r="K376" t="n">
        <v>0</v>
      </c>
      <c r="L376" t="n">
        <v>0</v>
      </c>
      <c r="M376" t="n">
        <v>0</v>
      </c>
      <c r="N376" t="n">
        <v>0</v>
      </c>
      <c r="O376" t="n">
        <v>1</v>
      </c>
      <c r="P376" t="n">
        <v>0</v>
      </c>
      <c r="Q376" t="n">
        <v>1</v>
      </c>
      <c r="R376" s="2" t="inlineStr">
        <is>
          <t>Garnlav</t>
        </is>
      </c>
      <c r="S376">
        <f>HYPERLINK("https://klasma.github.io/Logging_2080/artfynd/A 33248-2020.xlsx", "A 33248-2020")</f>
        <v/>
      </c>
      <c r="T376">
        <f>HYPERLINK("https://klasma.github.io/Logging_2080/kartor/A 33248-2020.png", "A 33248-2020")</f>
        <v/>
      </c>
      <c r="V376">
        <f>HYPERLINK("https://klasma.github.io/Logging_2080/klagomål/A 33248-2020.docx", "A 33248-2020")</f>
        <v/>
      </c>
      <c r="W376">
        <f>HYPERLINK("https://klasma.github.io/Logging_2080/klagomålsmail/A 33248-2020.docx", "A 33248-2020")</f>
        <v/>
      </c>
      <c r="X376">
        <f>HYPERLINK("https://klasma.github.io/Logging_2080/tillsyn/A 33248-2020.docx", "A 33248-2020")</f>
        <v/>
      </c>
      <c r="Y376">
        <f>HYPERLINK("https://klasma.github.io/Logging_2080/tillsynsmail/A 33248-2020.docx", "A 33248-2020")</f>
        <v/>
      </c>
    </row>
    <row r="377" ht="15" customHeight="1">
      <c r="A377" t="inlineStr">
        <is>
          <t>A 33968-2020</t>
        </is>
      </c>
      <c r="B377" s="1" t="n">
        <v>44028</v>
      </c>
      <c r="C377" s="1" t="n">
        <v>45210</v>
      </c>
      <c r="D377" t="inlineStr">
        <is>
          <t>DALARNAS LÄN</t>
        </is>
      </c>
      <c r="E377" t="inlineStr">
        <is>
          <t>MORA</t>
        </is>
      </c>
      <c r="G377" t="n">
        <v>0.5</v>
      </c>
      <c r="H377" t="n">
        <v>1</v>
      </c>
      <c r="I377" t="n">
        <v>0</v>
      </c>
      <c r="J377" t="n">
        <v>1</v>
      </c>
      <c r="K377" t="n">
        <v>0</v>
      </c>
      <c r="L377" t="n">
        <v>0</v>
      </c>
      <c r="M377" t="n">
        <v>0</v>
      </c>
      <c r="N377" t="n">
        <v>0</v>
      </c>
      <c r="O377" t="n">
        <v>1</v>
      </c>
      <c r="P377" t="n">
        <v>0</v>
      </c>
      <c r="Q377" t="n">
        <v>1</v>
      </c>
      <c r="R377" s="2" t="inlineStr">
        <is>
          <t>Spillkråka</t>
        </is>
      </c>
      <c r="S377">
        <f>HYPERLINK("https://klasma.github.io/Logging_2062/artfynd/A 33968-2020.xlsx", "A 33968-2020")</f>
        <v/>
      </c>
      <c r="T377">
        <f>HYPERLINK("https://klasma.github.io/Logging_2062/kartor/A 33968-2020.png", "A 33968-2020")</f>
        <v/>
      </c>
      <c r="V377">
        <f>HYPERLINK("https://klasma.github.io/Logging_2062/klagomål/A 33968-2020.docx", "A 33968-2020")</f>
        <v/>
      </c>
      <c r="W377">
        <f>HYPERLINK("https://klasma.github.io/Logging_2062/klagomålsmail/A 33968-2020.docx", "A 33968-2020")</f>
        <v/>
      </c>
      <c r="X377">
        <f>HYPERLINK("https://klasma.github.io/Logging_2062/tillsyn/A 33968-2020.docx", "A 33968-2020")</f>
        <v/>
      </c>
      <c r="Y377">
        <f>HYPERLINK("https://klasma.github.io/Logging_2062/tillsynsmail/A 33968-2020.docx", "A 33968-2020")</f>
        <v/>
      </c>
    </row>
    <row r="378" ht="15" customHeight="1">
      <c r="A378" t="inlineStr">
        <is>
          <t>A 34201-2020</t>
        </is>
      </c>
      <c r="B378" s="1" t="n">
        <v>44029</v>
      </c>
      <c r="C378" s="1" t="n">
        <v>45210</v>
      </c>
      <c r="D378" t="inlineStr">
        <is>
          <t>DALARNAS LÄN</t>
        </is>
      </c>
      <c r="E378" t="inlineStr">
        <is>
          <t>ÄLVDALEN</t>
        </is>
      </c>
      <c r="F378" t="inlineStr">
        <is>
          <t>Sveaskog</t>
        </is>
      </c>
      <c r="G378" t="n">
        <v>6.9</v>
      </c>
      <c r="H378" t="n">
        <v>1</v>
      </c>
      <c r="I378" t="n">
        <v>0</v>
      </c>
      <c r="J378" t="n">
        <v>1</v>
      </c>
      <c r="K378" t="n">
        <v>0</v>
      </c>
      <c r="L378" t="n">
        <v>0</v>
      </c>
      <c r="M378" t="n">
        <v>0</v>
      </c>
      <c r="N378" t="n">
        <v>0</v>
      </c>
      <c r="O378" t="n">
        <v>1</v>
      </c>
      <c r="P378" t="n">
        <v>0</v>
      </c>
      <c r="Q378" t="n">
        <v>1</v>
      </c>
      <c r="R378" s="2" t="inlineStr">
        <is>
          <t>Varglav</t>
        </is>
      </c>
      <c r="S378">
        <f>HYPERLINK("https://klasma.github.io/Logging_2039/artfynd/A 34201-2020.xlsx", "A 34201-2020")</f>
        <v/>
      </c>
      <c r="T378">
        <f>HYPERLINK("https://klasma.github.io/Logging_2039/kartor/A 34201-2020.png", "A 34201-2020")</f>
        <v/>
      </c>
      <c r="V378">
        <f>HYPERLINK("https://klasma.github.io/Logging_2039/klagomål/A 34201-2020.docx", "A 34201-2020")</f>
        <v/>
      </c>
      <c r="W378">
        <f>HYPERLINK("https://klasma.github.io/Logging_2039/klagomålsmail/A 34201-2020.docx", "A 34201-2020")</f>
        <v/>
      </c>
      <c r="X378">
        <f>HYPERLINK("https://klasma.github.io/Logging_2039/tillsyn/A 34201-2020.docx", "A 34201-2020")</f>
        <v/>
      </c>
      <c r="Y378">
        <f>HYPERLINK("https://klasma.github.io/Logging_2039/tillsynsmail/A 34201-2020.docx", "A 34201-2020")</f>
        <v/>
      </c>
    </row>
    <row r="379" ht="15" customHeight="1">
      <c r="A379" t="inlineStr">
        <is>
          <t>A 34337-2020</t>
        </is>
      </c>
      <c r="B379" s="1" t="n">
        <v>44032</v>
      </c>
      <c r="C379" s="1" t="n">
        <v>45210</v>
      </c>
      <c r="D379" t="inlineStr">
        <is>
          <t>DALARNAS LÄN</t>
        </is>
      </c>
      <c r="E379" t="inlineStr">
        <is>
          <t>SÄTER</t>
        </is>
      </c>
      <c r="F379" t="inlineStr">
        <is>
          <t>Kommuner</t>
        </is>
      </c>
      <c r="G379" t="n">
        <v>20.3</v>
      </c>
      <c r="H379" t="n">
        <v>0</v>
      </c>
      <c r="I379" t="n">
        <v>0</v>
      </c>
      <c r="J379" t="n">
        <v>1</v>
      </c>
      <c r="K379" t="n">
        <v>0</v>
      </c>
      <c r="L379" t="n">
        <v>0</v>
      </c>
      <c r="M379" t="n">
        <v>0</v>
      </c>
      <c r="N379" t="n">
        <v>0</v>
      </c>
      <c r="O379" t="n">
        <v>1</v>
      </c>
      <c r="P379" t="n">
        <v>0</v>
      </c>
      <c r="Q379" t="n">
        <v>1</v>
      </c>
      <c r="R379" s="2" t="inlineStr">
        <is>
          <t>Ullticka</t>
        </is>
      </c>
      <c r="S379">
        <f>HYPERLINK("https://klasma.github.io/Logging_2082/artfynd/A 34337-2020.xlsx", "A 34337-2020")</f>
        <v/>
      </c>
      <c r="T379">
        <f>HYPERLINK("https://klasma.github.io/Logging_2082/kartor/A 34337-2020.png", "A 34337-2020")</f>
        <v/>
      </c>
      <c r="V379">
        <f>HYPERLINK("https://klasma.github.io/Logging_2082/klagomål/A 34337-2020.docx", "A 34337-2020")</f>
        <v/>
      </c>
      <c r="W379">
        <f>HYPERLINK("https://klasma.github.io/Logging_2082/klagomålsmail/A 34337-2020.docx", "A 34337-2020")</f>
        <v/>
      </c>
      <c r="X379">
        <f>HYPERLINK("https://klasma.github.io/Logging_2082/tillsyn/A 34337-2020.docx", "A 34337-2020")</f>
        <v/>
      </c>
      <c r="Y379">
        <f>HYPERLINK("https://klasma.github.io/Logging_2082/tillsynsmail/A 34337-2020.docx", "A 34337-2020")</f>
        <v/>
      </c>
    </row>
    <row r="380" ht="15" customHeight="1">
      <c r="A380" t="inlineStr">
        <is>
          <t>A 37713-2020</t>
        </is>
      </c>
      <c r="B380" s="1" t="n">
        <v>44056</v>
      </c>
      <c r="C380" s="1" t="n">
        <v>45210</v>
      </c>
      <c r="D380" t="inlineStr">
        <is>
          <t>DALARNAS LÄN</t>
        </is>
      </c>
      <c r="E380" t="inlineStr">
        <is>
          <t>FALUN</t>
        </is>
      </c>
      <c r="F380" t="inlineStr">
        <is>
          <t>Bergvik skog väst AB</t>
        </is>
      </c>
      <c r="G380" t="n">
        <v>12</v>
      </c>
      <c r="H380" t="n">
        <v>0</v>
      </c>
      <c r="I380" t="n">
        <v>0</v>
      </c>
      <c r="J380" t="n">
        <v>1</v>
      </c>
      <c r="K380" t="n">
        <v>0</v>
      </c>
      <c r="L380" t="n">
        <v>0</v>
      </c>
      <c r="M380" t="n">
        <v>0</v>
      </c>
      <c r="N380" t="n">
        <v>0</v>
      </c>
      <c r="O380" t="n">
        <v>1</v>
      </c>
      <c r="P380" t="n">
        <v>0</v>
      </c>
      <c r="Q380" t="n">
        <v>1</v>
      </c>
      <c r="R380" s="2" t="inlineStr">
        <is>
          <t>Garnlav</t>
        </is>
      </c>
      <c r="S380">
        <f>HYPERLINK("https://klasma.github.io/Logging_2080/artfynd/A 37713-2020.xlsx", "A 37713-2020")</f>
        <v/>
      </c>
      <c r="T380">
        <f>HYPERLINK("https://klasma.github.io/Logging_2080/kartor/A 37713-2020.png", "A 37713-2020")</f>
        <v/>
      </c>
      <c r="V380">
        <f>HYPERLINK("https://klasma.github.io/Logging_2080/klagomål/A 37713-2020.docx", "A 37713-2020")</f>
        <v/>
      </c>
      <c r="W380">
        <f>HYPERLINK("https://klasma.github.io/Logging_2080/klagomålsmail/A 37713-2020.docx", "A 37713-2020")</f>
        <v/>
      </c>
      <c r="X380">
        <f>HYPERLINK("https://klasma.github.io/Logging_2080/tillsyn/A 37713-2020.docx", "A 37713-2020")</f>
        <v/>
      </c>
      <c r="Y380">
        <f>HYPERLINK("https://klasma.github.io/Logging_2080/tillsynsmail/A 37713-2020.docx", "A 37713-2020")</f>
        <v/>
      </c>
    </row>
    <row r="381" ht="15" customHeight="1">
      <c r="A381" t="inlineStr">
        <is>
          <t>A 38211-2020</t>
        </is>
      </c>
      <c r="B381" s="1" t="n">
        <v>44060</v>
      </c>
      <c r="C381" s="1" t="n">
        <v>45210</v>
      </c>
      <c r="D381" t="inlineStr">
        <is>
          <t>DALARNAS LÄN</t>
        </is>
      </c>
      <c r="E381" t="inlineStr">
        <is>
          <t>ORSA</t>
        </is>
      </c>
      <c r="G381" t="n">
        <v>1.2</v>
      </c>
      <c r="H381" t="n">
        <v>1</v>
      </c>
      <c r="I381" t="n">
        <v>0</v>
      </c>
      <c r="J381" t="n">
        <v>1</v>
      </c>
      <c r="K381" t="n">
        <v>0</v>
      </c>
      <c r="L381" t="n">
        <v>0</v>
      </c>
      <c r="M381" t="n">
        <v>0</v>
      </c>
      <c r="N381" t="n">
        <v>0</v>
      </c>
      <c r="O381" t="n">
        <v>1</v>
      </c>
      <c r="P381" t="n">
        <v>0</v>
      </c>
      <c r="Q381" t="n">
        <v>1</v>
      </c>
      <c r="R381" s="2" t="inlineStr">
        <is>
          <t>Utter</t>
        </is>
      </c>
      <c r="S381">
        <f>HYPERLINK("https://klasma.github.io/Logging_2034/artfynd/A 38211-2020.xlsx", "A 38211-2020")</f>
        <v/>
      </c>
      <c r="T381">
        <f>HYPERLINK("https://klasma.github.io/Logging_2034/kartor/A 38211-2020.png", "A 38211-2020")</f>
        <v/>
      </c>
      <c r="V381">
        <f>HYPERLINK("https://klasma.github.io/Logging_2034/klagomål/A 38211-2020.docx", "A 38211-2020")</f>
        <v/>
      </c>
      <c r="W381">
        <f>HYPERLINK("https://klasma.github.io/Logging_2034/klagomålsmail/A 38211-2020.docx", "A 38211-2020")</f>
        <v/>
      </c>
      <c r="X381">
        <f>HYPERLINK("https://klasma.github.io/Logging_2034/tillsyn/A 38211-2020.docx", "A 38211-2020")</f>
        <v/>
      </c>
      <c r="Y381">
        <f>HYPERLINK("https://klasma.github.io/Logging_2034/tillsynsmail/A 38211-2020.docx", "A 38211-2020")</f>
        <v/>
      </c>
    </row>
    <row r="382" ht="15" customHeight="1">
      <c r="A382" t="inlineStr">
        <is>
          <t>A 38505-2020</t>
        </is>
      </c>
      <c r="B382" s="1" t="n">
        <v>44061</v>
      </c>
      <c r="C382" s="1" t="n">
        <v>45210</v>
      </c>
      <c r="D382" t="inlineStr">
        <is>
          <t>DALARNAS LÄN</t>
        </is>
      </c>
      <c r="E382" t="inlineStr">
        <is>
          <t>ÄLVDALEN</t>
        </is>
      </c>
      <c r="F382" t="inlineStr">
        <is>
          <t>Sveaskog</t>
        </is>
      </c>
      <c r="G382" t="n">
        <v>1.7</v>
      </c>
      <c r="H382" t="n">
        <v>1</v>
      </c>
      <c r="I382" t="n">
        <v>0</v>
      </c>
      <c r="J382" t="n">
        <v>1</v>
      </c>
      <c r="K382" t="n">
        <v>0</v>
      </c>
      <c r="L382" t="n">
        <v>0</v>
      </c>
      <c r="M382" t="n">
        <v>0</v>
      </c>
      <c r="N382" t="n">
        <v>0</v>
      </c>
      <c r="O382" t="n">
        <v>1</v>
      </c>
      <c r="P382" t="n">
        <v>0</v>
      </c>
      <c r="Q382" t="n">
        <v>1</v>
      </c>
      <c r="R382" s="2" t="inlineStr">
        <is>
          <t>Varglav</t>
        </is>
      </c>
      <c r="S382">
        <f>HYPERLINK("https://klasma.github.io/Logging_2039/artfynd/A 38505-2020.xlsx", "A 38505-2020")</f>
        <v/>
      </c>
      <c r="T382">
        <f>HYPERLINK("https://klasma.github.io/Logging_2039/kartor/A 38505-2020.png", "A 38505-2020")</f>
        <v/>
      </c>
      <c r="V382">
        <f>HYPERLINK("https://klasma.github.io/Logging_2039/klagomål/A 38505-2020.docx", "A 38505-2020")</f>
        <v/>
      </c>
      <c r="W382">
        <f>HYPERLINK("https://klasma.github.io/Logging_2039/klagomålsmail/A 38505-2020.docx", "A 38505-2020")</f>
        <v/>
      </c>
      <c r="X382">
        <f>HYPERLINK("https://klasma.github.io/Logging_2039/tillsyn/A 38505-2020.docx", "A 38505-2020")</f>
        <v/>
      </c>
      <c r="Y382">
        <f>HYPERLINK("https://klasma.github.io/Logging_2039/tillsynsmail/A 38505-2020.docx", "A 38505-2020")</f>
        <v/>
      </c>
    </row>
    <row r="383" ht="15" customHeight="1">
      <c r="A383" t="inlineStr">
        <is>
          <t>A 45867-2020</t>
        </is>
      </c>
      <c r="B383" s="1" t="n">
        <v>44088</v>
      </c>
      <c r="C383" s="1" t="n">
        <v>45210</v>
      </c>
      <c r="D383" t="inlineStr">
        <is>
          <t>DALARNAS LÄN</t>
        </is>
      </c>
      <c r="E383" t="inlineStr">
        <is>
          <t>RÄTTVIK</t>
        </is>
      </c>
      <c r="G383" t="n">
        <v>1</v>
      </c>
      <c r="H383" t="n">
        <v>0</v>
      </c>
      <c r="I383" t="n">
        <v>1</v>
      </c>
      <c r="J383" t="n">
        <v>0</v>
      </c>
      <c r="K383" t="n">
        <v>0</v>
      </c>
      <c r="L383" t="n">
        <v>0</v>
      </c>
      <c r="M383" t="n">
        <v>0</v>
      </c>
      <c r="N383" t="n">
        <v>0</v>
      </c>
      <c r="O383" t="n">
        <v>0</v>
      </c>
      <c r="P383" t="n">
        <v>0</v>
      </c>
      <c r="Q383" t="n">
        <v>1</v>
      </c>
      <c r="R383" s="2" t="inlineStr">
        <is>
          <t>Svavelriska</t>
        </is>
      </c>
      <c r="S383">
        <f>HYPERLINK("https://klasma.github.io/Logging_2031/artfynd/A 45867-2020.xlsx", "A 45867-2020")</f>
        <v/>
      </c>
      <c r="T383">
        <f>HYPERLINK("https://klasma.github.io/Logging_2031/kartor/A 45867-2020.png", "A 45867-2020")</f>
        <v/>
      </c>
      <c r="V383">
        <f>HYPERLINK("https://klasma.github.io/Logging_2031/klagomål/A 45867-2020.docx", "A 45867-2020")</f>
        <v/>
      </c>
      <c r="W383">
        <f>HYPERLINK("https://klasma.github.io/Logging_2031/klagomålsmail/A 45867-2020.docx", "A 45867-2020")</f>
        <v/>
      </c>
      <c r="X383">
        <f>HYPERLINK("https://klasma.github.io/Logging_2031/tillsyn/A 45867-2020.docx", "A 45867-2020")</f>
        <v/>
      </c>
      <c r="Y383">
        <f>HYPERLINK("https://klasma.github.io/Logging_2031/tillsynsmail/A 45867-2020.docx", "A 45867-2020")</f>
        <v/>
      </c>
    </row>
    <row r="384" ht="15" customHeight="1">
      <c r="A384" t="inlineStr">
        <is>
          <t>A 46279-2020</t>
        </is>
      </c>
      <c r="B384" s="1" t="n">
        <v>44092</v>
      </c>
      <c r="C384" s="1" t="n">
        <v>45210</v>
      </c>
      <c r="D384" t="inlineStr">
        <is>
          <t>DALARNAS LÄN</t>
        </is>
      </c>
      <c r="E384" t="inlineStr">
        <is>
          <t>ÄLVDALEN</t>
        </is>
      </c>
      <c r="F384" t="inlineStr">
        <is>
          <t>Sveaskog</t>
        </is>
      </c>
      <c r="G384" t="n">
        <v>0.5</v>
      </c>
      <c r="H384" t="n">
        <v>0</v>
      </c>
      <c r="I384" t="n">
        <v>0</v>
      </c>
      <c r="J384" t="n">
        <v>1</v>
      </c>
      <c r="K384" t="n">
        <v>0</v>
      </c>
      <c r="L384" t="n">
        <v>0</v>
      </c>
      <c r="M384" t="n">
        <v>0</v>
      </c>
      <c r="N384" t="n">
        <v>0</v>
      </c>
      <c r="O384" t="n">
        <v>1</v>
      </c>
      <c r="P384" t="n">
        <v>0</v>
      </c>
      <c r="Q384" t="n">
        <v>1</v>
      </c>
      <c r="R384" s="2" t="inlineStr">
        <is>
          <t>Nordtagging</t>
        </is>
      </c>
      <c r="S384">
        <f>HYPERLINK("https://klasma.github.io/Logging_2039/artfynd/A 46279-2020.xlsx", "A 46279-2020")</f>
        <v/>
      </c>
      <c r="T384">
        <f>HYPERLINK("https://klasma.github.io/Logging_2039/kartor/A 46279-2020.png", "A 46279-2020")</f>
        <v/>
      </c>
      <c r="V384">
        <f>HYPERLINK("https://klasma.github.io/Logging_2039/klagomål/A 46279-2020.docx", "A 46279-2020")</f>
        <v/>
      </c>
      <c r="W384">
        <f>HYPERLINK("https://klasma.github.io/Logging_2039/klagomålsmail/A 46279-2020.docx", "A 46279-2020")</f>
        <v/>
      </c>
      <c r="X384">
        <f>HYPERLINK("https://klasma.github.io/Logging_2039/tillsyn/A 46279-2020.docx", "A 46279-2020")</f>
        <v/>
      </c>
      <c r="Y384">
        <f>HYPERLINK("https://klasma.github.io/Logging_2039/tillsynsmail/A 46279-2020.docx", "A 46279-2020")</f>
        <v/>
      </c>
    </row>
    <row r="385" ht="15" customHeight="1">
      <c r="A385" t="inlineStr">
        <is>
          <t>A 49767-2020</t>
        </is>
      </c>
      <c r="B385" s="1" t="n">
        <v>44106</v>
      </c>
      <c r="C385" s="1" t="n">
        <v>45210</v>
      </c>
      <c r="D385" t="inlineStr">
        <is>
          <t>DALARNAS LÄN</t>
        </is>
      </c>
      <c r="E385" t="inlineStr">
        <is>
          <t>HEDEMORA</t>
        </is>
      </c>
      <c r="F385" t="inlineStr">
        <is>
          <t>Sveaskog</t>
        </is>
      </c>
      <c r="G385" t="n">
        <v>6.1</v>
      </c>
      <c r="H385" t="n">
        <v>1</v>
      </c>
      <c r="I385" t="n">
        <v>0</v>
      </c>
      <c r="J385" t="n">
        <v>0</v>
      </c>
      <c r="K385" t="n">
        <v>1</v>
      </c>
      <c r="L385" t="n">
        <v>0</v>
      </c>
      <c r="M385" t="n">
        <v>0</v>
      </c>
      <c r="N385" t="n">
        <v>0</v>
      </c>
      <c r="O385" t="n">
        <v>1</v>
      </c>
      <c r="P385" t="n">
        <v>1</v>
      </c>
      <c r="Q385" t="n">
        <v>1</v>
      </c>
      <c r="R385" s="2" t="inlineStr">
        <is>
          <t>Knärot</t>
        </is>
      </c>
      <c r="S385">
        <f>HYPERLINK("https://klasma.github.io/Logging_2083/artfynd/A 49767-2020.xlsx", "A 49767-2020")</f>
        <v/>
      </c>
      <c r="T385">
        <f>HYPERLINK("https://klasma.github.io/Logging_2083/kartor/A 49767-2020.png", "A 49767-2020")</f>
        <v/>
      </c>
      <c r="U385">
        <f>HYPERLINK("https://klasma.github.io/Logging_2083/knärot/A 49767-2020.png", "A 49767-2020")</f>
        <v/>
      </c>
      <c r="V385">
        <f>HYPERLINK("https://klasma.github.io/Logging_2083/klagomål/A 49767-2020.docx", "A 49767-2020")</f>
        <v/>
      </c>
      <c r="W385">
        <f>HYPERLINK("https://klasma.github.io/Logging_2083/klagomålsmail/A 49767-2020.docx", "A 49767-2020")</f>
        <v/>
      </c>
      <c r="X385">
        <f>HYPERLINK("https://klasma.github.io/Logging_2083/tillsyn/A 49767-2020.docx", "A 49767-2020")</f>
        <v/>
      </c>
      <c r="Y385">
        <f>HYPERLINK("https://klasma.github.io/Logging_2083/tillsynsmail/A 49767-2020.docx", "A 49767-2020")</f>
        <v/>
      </c>
    </row>
    <row r="386" ht="15" customHeight="1">
      <c r="A386" t="inlineStr">
        <is>
          <t>A 49768-2020</t>
        </is>
      </c>
      <c r="B386" s="1" t="n">
        <v>44106</v>
      </c>
      <c r="C386" s="1" t="n">
        <v>45210</v>
      </c>
      <c r="D386" t="inlineStr">
        <is>
          <t>DALARNAS LÄN</t>
        </is>
      </c>
      <c r="E386" t="inlineStr">
        <is>
          <t>HEDEMORA</t>
        </is>
      </c>
      <c r="F386" t="inlineStr">
        <is>
          <t>Sveaskog</t>
        </is>
      </c>
      <c r="G386" t="n">
        <v>10</v>
      </c>
      <c r="H386" t="n">
        <v>1</v>
      </c>
      <c r="I386" t="n">
        <v>0</v>
      </c>
      <c r="J386" t="n">
        <v>0</v>
      </c>
      <c r="K386" t="n">
        <v>1</v>
      </c>
      <c r="L386" t="n">
        <v>0</v>
      </c>
      <c r="M386" t="n">
        <v>0</v>
      </c>
      <c r="N386" t="n">
        <v>0</v>
      </c>
      <c r="O386" t="n">
        <v>1</v>
      </c>
      <c r="P386" t="n">
        <v>1</v>
      </c>
      <c r="Q386" t="n">
        <v>1</v>
      </c>
      <c r="R386" s="2" t="inlineStr">
        <is>
          <t>Knärot</t>
        </is>
      </c>
      <c r="S386">
        <f>HYPERLINK("https://klasma.github.io/Logging_2083/artfynd/A 49768-2020.xlsx", "A 49768-2020")</f>
        <v/>
      </c>
      <c r="T386">
        <f>HYPERLINK("https://klasma.github.io/Logging_2083/kartor/A 49768-2020.png", "A 49768-2020")</f>
        <v/>
      </c>
      <c r="U386">
        <f>HYPERLINK("https://klasma.github.io/Logging_2083/knärot/A 49768-2020.png", "A 49768-2020")</f>
        <v/>
      </c>
      <c r="V386">
        <f>HYPERLINK("https://klasma.github.io/Logging_2083/klagomål/A 49768-2020.docx", "A 49768-2020")</f>
        <v/>
      </c>
      <c r="W386">
        <f>HYPERLINK("https://klasma.github.io/Logging_2083/klagomålsmail/A 49768-2020.docx", "A 49768-2020")</f>
        <v/>
      </c>
      <c r="X386">
        <f>HYPERLINK("https://klasma.github.io/Logging_2083/tillsyn/A 49768-2020.docx", "A 49768-2020")</f>
        <v/>
      </c>
      <c r="Y386">
        <f>HYPERLINK("https://klasma.github.io/Logging_2083/tillsynsmail/A 49768-2020.docx", "A 49768-2020")</f>
        <v/>
      </c>
    </row>
    <row r="387" ht="15" customHeight="1">
      <c r="A387" t="inlineStr">
        <is>
          <t>A 49765-2020</t>
        </is>
      </c>
      <c r="B387" s="1" t="n">
        <v>44106</v>
      </c>
      <c r="C387" s="1" t="n">
        <v>45210</v>
      </c>
      <c r="D387" t="inlineStr">
        <is>
          <t>DALARNAS LÄN</t>
        </is>
      </c>
      <c r="E387" t="inlineStr">
        <is>
          <t>HEDEMORA</t>
        </is>
      </c>
      <c r="F387" t="inlineStr">
        <is>
          <t>Sveaskog</t>
        </is>
      </c>
      <c r="G387" t="n">
        <v>5.8</v>
      </c>
      <c r="H387" t="n">
        <v>1</v>
      </c>
      <c r="I387" t="n">
        <v>0</v>
      </c>
      <c r="J387" t="n">
        <v>0</v>
      </c>
      <c r="K387" t="n">
        <v>1</v>
      </c>
      <c r="L387" t="n">
        <v>0</v>
      </c>
      <c r="M387" t="n">
        <v>0</v>
      </c>
      <c r="N387" t="n">
        <v>0</v>
      </c>
      <c r="O387" t="n">
        <v>1</v>
      </c>
      <c r="P387" t="n">
        <v>1</v>
      </c>
      <c r="Q387" t="n">
        <v>1</v>
      </c>
      <c r="R387" s="2" t="inlineStr">
        <is>
          <t>Knärot</t>
        </is>
      </c>
      <c r="S387">
        <f>HYPERLINK("https://klasma.github.io/Logging_2083/artfynd/A 49765-2020.xlsx", "A 49765-2020")</f>
        <v/>
      </c>
      <c r="T387">
        <f>HYPERLINK("https://klasma.github.io/Logging_2083/kartor/A 49765-2020.png", "A 49765-2020")</f>
        <v/>
      </c>
      <c r="U387">
        <f>HYPERLINK("https://klasma.github.io/Logging_2083/knärot/A 49765-2020.png", "A 49765-2020")</f>
        <v/>
      </c>
      <c r="V387">
        <f>HYPERLINK("https://klasma.github.io/Logging_2083/klagomål/A 49765-2020.docx", "A 49765-2020")</f>
        <v/>
      </c>
      <c r="W387">
        <f>HYPERLINK("https://klasma.github.io/Logging_2083/klagomålsmail/A 49765-2020.docx", "A 49765-2020")</f>
        <v/>
      </c>
      <c r="X387">
        <f>HYPERLINK("https://klasma.github.io/Logging_2083/tillsyn/A 49765-2020.docx", "A 49765-2020")</f>
        <v/>
      </c>
      <c r="Y387">
        <f>HYPERLINK("https://klasma.github.io/Logging_2083/tillsynsmail/A 49765-2020.docx", "A 49765-2020")</f>
        <v/>
      </c>
    </row>
    <row r="388" ht="15" customHeight="1">
      <c r="A388" t="inlineStr">
        <is>
          <t>A 51342-2020</t>
        </is>
      </c>
      <c r="B388" s="1" t="n">
        <v>44112</v>
      </c>
      <c r="C388" s="1" t="n">
        <v>45210</v>
      </c>
      <c r="D388" t="inlineStr">
        <is>
          <t>DALARNAS LÄN</t>
        </is>
      </c>
      <c r="E388" t="inlineStr">
        <is>
          <t>FALUN</t>
        </is>
      </c>
      <c r="F388" t="inlineStr">
        <is>
          <t>Bergvik skog väst AB</t>
        </is>
      </c>
      <c r="G388" t="n">
        <v>3.8</v>
      </c>
      <c r="H388" t="n">
        <v>1</v>
      </c>
      <c r="I388" t="n">
        <v>0</v>
      </c>
      <c r="J388" t="n">
        <v>0</v>
      </c>
      <c r="K388" t="n">
        <v>1</v>
      </c>
      <c r="L388" t="n">
        <v>0</v>
      </c>
      <c r="M388" t="n">
        <v>0</v>
      </c>
      <c r="N388" t="n">
        <v>0</v>
      </c>
      <c r="O388" t="n">
        <v>1</v>
      </c>
      <c r="P388" t="n">
        <v>1</v>
      </c>
      <c r="Q388" t="n">
        <v>1</v>
      </c>
      <c r="R388" s="2" t="inlineStr">
        <is>
          <t>Knärot</t>
        </is>
      </c>
      <c r="S388">
        <f>HYPERLINK("https://klasma.github.io/Logging_2080/artfynd/A 51342-2020.xlsx", "A 51342-2020")</f>
        <v/>
      </c>
      <c r="T388">
        <f>HYPERLINK("https://klasma.github.io/Logging_2080/kartor/A 51342-2020.png", "A 51342-2020")</f>
        <v/>
      </c>
      <c r="U388">
        <f>HYPERLINK("https://klasma.github.io/Logging_2080/knärot/A 51342-2020.png", "A 51342-2020")</f>
        <v/>
      </c>
      <c r="V388">
        <f>HYPERLINK("https://klasma.github.io/Logging_2080/klagomål/A 51342-2020.docx", "A 51342-2020")</f>
        <v/>
      </c>
      <c r="W388">
        <f>HYPERLINK("https://klasma.github.io/Logging_2080/klagomålsmail/A 51342-2020.docx", "A 51342-2020")</f>
        <v/>
      </c>
      <c r="X388">
        <f>HYPERLINK("https://klasma.github.io/Logging_2080/tillsyn/A 51342-2020.docx", "A 51342-2020")</f>
        <v/>
      </c>
      <c r="Y388">
        <f>HYPERLINK("https://klasma.github.io/Logging_2080/tillsynsmail/A 51342-2020.docx", "A 51342-2020")</f>
        <v/>
      </c>
    </row>
    <row r="389" ht="15" customHeight="1">
      <c r="A389" t="inlineStr">
        <is>
          <t>A 58570-2020</t>
        </is>
      </c>
      <c r="B389" s="1" t="n">
        <v>44145</v>
      </c>
      <c r="C389" s="1" t="n">
        <v>45210</v>
      </c>
      <c r="D389" t="inlineStr">
        <is>
          <t>DALARNAS LÄN</t>
        </is>
      </c>
      <c r="E389" t="inlineStr">
        <is>
          <t>ÄLVDALEN</t>
        </is>
      </c>
      <c r="F389" t="inlineStr">
        <is>
          <t>Sveaskog</t>
        </is>
      </c>
      <c r="G389" t="n">
        <v>15.3</v>
      </c>
      <c r="H389" t="n">
        <v>0</v>
      </c>
      <c r="I389" t="n">
        <v>1</v>
      </c>
      <c r="J389" t="n">
        <v>0</v>
      </c>
      <c r="K389" t="n">
        <v>0</v>
      </c>
      <c r="L389" t="n">
        <v>0</v>
      </c>
      <c r="M389" t="n">
        <v>0</v>
      </c>
      <c r="N389" t="n">
        <v>0</v>
      </c>
      <c r="O389" t="n">
        <v>0</v>
      </c>
      <c r="P389" t="n">
        <v>0</v>
      </c>
      <c r="Q389" t="n">
        <v>1</v>
      </c>
      <c r="R389" s="2" t="inlineStr">
        <is>
          <t>Dropptaggsvamp</t>
        </is>
      </c>
      <c r="S389">
        <f>HYPERLINK("https://klasma.github.io/Logging_2039/artfynd/A 58570-2020.xlsx", "A 58570-2020")</f>
        <v/>
      </c>
      <c r="T389">
        <f>HYPERLINK("https://klasma.github.io/Logging_2039/kartor/A 58570-2020.png", "A 58570-2020")</f>
        <v/>
      </c>
      <c r="V389">
        <f>HYPERLINK("https://klasma.github.io/Logging_2039/klagomål/A 58570-2020.docx", "A 58570-2020")</f>
        <v/>
      </c>
      <c r="W389">
        <f>HYPERLINK("https://klasma.github.io/Logging_2039/klagomålsmail/A 58570-2020.docx", "A 58570-2020")</f>
        <v/>
      </c>
      <c r="X389">
        <f>HYPERLINK("https://klasma.github.io/Logging_2039/tillsyn/A 58570-2020.docx", "A 58570-2020")</f>
        <v/>
      </c>
      <c r="Y389">
        <f>HYPERLINK("https://klasma.github.io/Logging_2039/tillsynsmail/A 58570-2020.docx", "A 58570-2020")</f>
        <v/>
      </c>
    </row>
    <row r="390" ht="15" customHeight="1">
      <c r="A390" t="inlineStr">
        <is>
          <t>A 64068-2020</t>
        </is>
      </c>
      <c r="B390" s="1" t="n">
        <v>44167</v>
      </c>
      <c r="C390" s="1" t="n">
        <v>45210</v>
      </c>
      <c r="D390" t="inlineStr">
        <is>
          <t>DALARNAS LÄN</t>
        </is>
      </c>
      <c r="E390" t="inlineStr">
        <is>
          <t>LUDVIKA</t>
        </is>
      </c>
      <c r="F390" t="inlineStr">
        <is>
          <t>Kommuner</t>
        </is>
      </c>
      <c r="G390" t="n">
        <v>4.5</v>
      </c>
      <c r="H390" t="n">
        <v>0</v>
      </c>
      <c r="I390" t="n">
        <v>0</v>
      </c>
      <c r="J390" t="n">
        <v>1</v>
      </c>
      <c r="K390" t="n">
        <v>0</v>
      </c>
      <c r="L390" t="n">
        <v>0</v>
      </c>
      <c r="M390" t="n">
        <v>0</v>
      </c>
      <c r="N390" t="n">
        <v>0</v>
      </c>
      <c r="O390" t="n">
        <v>1</v>
      </c>
      <c r="P390" t="n">
        <v>0</v>
      </c>
      <c r="Q390" t="n">
        <v>1</v>
      </c>
      <c r="R390" s="2" t="inlineStr">
        <is>
          <t>Garnlav</t>
        </is>
      </c>
      <c r="S390">
        <f>HYPERLINK("https://klasma.github.io/Logging_2085/artfynd/A 64068-2020.xlsx", "A 64068-2020")</f>
        <v/>
      </c>
      <c r="T390">
        <f>HYPERLINK("https://klasma.github.io/Logging_2085/kartor/A 64068-2020.png", "A 64068-2020")</f>
        <v/>
      </c>
      <c r="U390">
        <f>HYPERLINK("https://klasma.github.io/Logging_2085/knärot/A 64068-2020.png", "A 64068-2020")</f>
        <v/>
      </c>
      <c r="V390">
        <f>HYPERLINK("https://klasma.github.io/Logging_2085/klagomål/A 64068-2020.docx", "A 64068-2020")</f>
        <v/>
      </c>
      <c r="W390">
        <f>HYPERLINK("https://klasma.github.io/Logging_2085/klagomålsmail/A 64068-2020.docx", "A 64068-2020")</f>
        <v/>
      </c>
      <c r="X390">
        <f>HYPERLINK("https://klasma.github.io/Logging_2085/tillsyn/A 64068-2020.docx", "A 64068-2020")</f>
        <v/>
      </c>
      <c r="Y390">
        <f>HYPERLINK("https://klasma.github.io/Logging_2085/tillsynsmail/A 64068-2020.docx", "A 64068-2020")</f>
        <v/>
      </c>
    </row>
    <row r="391" ht="15" customHeight="1">
      <c r="A391" t="inlineStr">
        <is>
          <t>A 69166-2020</t>
        </is>
      </c>
      <c r="B391" s="1" t="n">
        <v>44188</v>
      </c>
      <c r="C391" s="1" t="n">
        <v>45210</v>
      </c>
      <c r="D391" t="inlineStr">
        <is>
          <t>DALARNAS LÄN</t>
        </is>
      </c>
      <c r="E391" t="inlineStr">
        <is>
          <t>LUDVIKA</t>
        </is>
      </c>
      <c r="F391" t="inlineStr">
        <is>
          <t>Kommuner</t>
        </is>
      </c>
      <c r="G391" t="n">
        <v>4.9</v>
      </c>
      <c r="H391" t="n">
        <v>1</v>
      </c>
      <c r="I391" t="n">
        <v>0</v>
      </c>
      <c r="J391" t="n">
        <v>0</v>
      </c>
      <c r="K391" t="n">
        <v>0</v>
      </c>
      <c r="L391" t="n">
        <v>0</v>
      </c>
      <c r="M391" t="n">
        <v>0</v>
      </c>
      <c r="N391" t="n">
        <v>0</v>
      </c>
      <c r="O391" t="n">
        <v>0</v>
      </c>
      <c r="P391" t="n">
        <v>0</v>
      </c>
      <c r="Q391" t="n">
        <v>1</v>
      </c>
      <c r="R391" s="2" t="inlineStr">
        <is>
          <t>Fläcknycklar</t>
        </is>
      </c>
      <c r="S391">
        <f>HYPERLINK("https://klasma.github.io/Logging_2085/artfynd/A 69166-2020.xlsx", "A 69166-2020")</f>
        <v/>
      </c>
      <c r="T391">
        <f>HYPERLINK("https://klasma.github.io/Logging_2085/kartor/A 69166-2020.png", "A 69166-2020")</f>
        <v/>
      </c>
      <c r="V391">
        <f>HYPERLINK("https://klasma.github.io/Logging_2085/klagomål/A 69166-2020.docx", "A 69166-2020")</f>
        <v/>
      </c>
      <c r="W391">
        <f>HYPERLINK("https://klasma.github.io/Logging_2085/klagomålsmail/A 69166-2020.docx", "A 69166-2020")</f>
        <v/>
      </c>
      <c r="X391">
        <f>HYPERLINK("https://klasma.github.io/Logging_2085/tillsyn/A 69166-2020.docx", "A 69166-2020")</f>
        <v/>
      </c>
      <c r="Y391">
        <f>HYPERLINK("https://klasma.github.io/Logging_2085/tillsynsmail/A 69166-2020.docx", "A 69166-2020")</f>
        <v/>
      </c>
    </row>
    <row r="392" ht="15" customHeight="1">
      <c r="A392" t="inlineStr">
        <is>
          <t>A 6639-2021</t>
        </is>
      </c>
      <c r="B392" s="1" t="n">
        <v>44236</v>
      </c>
      <c r="C392" s="1" t="n">
        <v>45210</v>
      </c>
      <c r="D392" t="inlineStr">
        <is>
          <t>DALARNAS LÄN</t>
        </is>
      </c>
      <c r="E392" t="inlineStr">
        <is>
          <t>SÄTER</t>
        </is>
      </c>
      <c r="G392" t="n">
        <v>5.2</v>
      </c>
      <c r="H392" t="n">
        <v>0</v>
      </c>
      <c r="I392" t="n">
        <v>1</v>
      </c>
      <c r="J392" t="n">
        <v>0</v>
      </c>
      <c r="K392" t="n">
        <v>0</v>
      </c>
      <c r="L392" t="n">
        <v>0</v>
      </c>
      <c r="M392" t="n">
        <v>0</v>
      </c>
      <c r="N392" t="n">
        <v>0</v>
      </c>
      <c r="O392" t="n">
        <v>0</v>
      </c>
      <c r="P392" t="n">
        <v>0</v>
      </c>
      <c r="Q392" t="n">
        <v>1</v>
      </c>
      <c r="R392" s="2" t="inlineStr">
        <is>
          <t>Zontaggsvamp</t>
        </is>
      </c>
      <c r="S392">
        <f>HYPERLINK("https://klasma.github.io/Logging_2082/artfynd/A 6639-2021.xlsx", "A 6639-2021")</f>
        <v/>
      </c>
      <c r="T392">
        <f>HYPERLINK("https://klasma.github.io/Logging_2082/kartor/A 6639-2021.png", "A 6639-2021")</f>
        <v/>
      </c>
      <c r="V392">
        <f>HYPERLINK("https://klasma.github.io/Logging_2082/klagomål/A 6639-2021.docx", "A 6639-2021")</f>
        <v/>
      </c>
      <c r="W392">
        <f>HYPERLINK("https://klasma.github.io/Logging_2082/klagomålsmail/A 6639-2021.docx", "A 6639-2021")</f>
        <v/>
      </c>
      <c r="X392">
        <f>HYPERLINK("https://klasma.github.io/Logging_2082/tillsyn/A 6639-2021.docx", "A 6639-2021")</f>
        <v/>
      </c>
      <c r="Y392">
        <f>HYPERLINK("https://klasma.github.io/Logging_2082/tillsynsmail/A 6639-2021.docx", "A 6639-2021")</f>
        <v/>
      </c>
    </row>
    <row r="393" ht="15" customHeight="1">
      <c r="A393" t="inlineStr">
        <is>
          <t>A 10384-2021</t>
        </is>
      </c>
      <c r="B393" s="1" t="n">
        <v>44257</v>
      </c>
      <c r="C393" s="1" t="n">
        <v>45210</v>
      </c>
      <c r="D393" t="inlineStr">
        <is>
          <t>DALARNAS LÄN</t>
        </is>
      </c>
      <c r="E393" t="inlineStr">
        <is>
          <t>FALUN</t>
        </is>
      </c>
      <c r="G393" t="n">
        <v>1.3</v>
      </c>
      <c r="H393" t="n">
        <v>0</v>
      </c>
      <c r="I393" t="n">
        <v>0</v>
      </c>
      <c r="J393" t="n">
        <v>1</v>
      </c>
      <c r="K393" t="n">
        <v>0</v>
      </c>
      <c r="L393" t="n">
        <v>0</v>
      </c>
      <c r="M393" t="n">
        <v>0</v>
      </c>
      <c r="N393" t="n">
        <v>0</v>
      </c>
      <c r="O393" t="n">
        <v>1</v>
      </c>
      <c r="P393" t="n">
        <v>0</v>
      </c>
      <c r="Q393" t="n">
        <v>1</v>
      </c>
      <c r="R393" s="2" t="inlineStr">
        <is>
          <t>Tallticka</t>
        </is>
      </c>
      <c r="S393">
        <f>HYPERLINK("https://klasma.github.io/Logging_2080/artfynd/A 10384-2021.xlsx", "A 10384-2021")</f>
        <v/>
      </c>
      <c r="T393">
        <f>HYPERLINK("https://klasma.github.io/Logging_2080/kartor/A 10384-2021.png", "A 10384-2021")</f>
        <v/>
      </c>
      <c r="V393">
        <f>HYPERLINK("https://klasma.github.io/Logging_2080/klagomål/A 10384-2021.docx", "A 10384-2021")</f>
        <v/>
      </c>
      <c r="W393">
        <f>HYPERLINK("https://klasma.github.io/Logging_2080/klagomålsmail/A 10384-2021.docx", "A 10384-2021")</f>
        <v/>
      </c>
      <c r="X393">
        <f>HYPERLINK("https://klasma.github.io/Logging_2080/tillsyn/A 10384-2021.docx", "A 10384-2021")</f>
        <v/>
      </c>
      <c r="Y393">
        <f>HYPERLINK("https://klasma.github.io/Logging_2080/tillsynsmail/A 10384-2021.docx", "A 10384-2021")</f>
        <v/>
      </c>
    </row>
    <row r="394" ht="15" customHeight="1">
      <c r="A394" t="inlineStr">
        <is>
          <t>A 11061-2021</t>
        </is>
      </c>
      <c r="B394" s="1" t="n">
        <v>44260</v>
      </c>
      <c r="C394" s="1" t="n">
        <v>45210</v>
      </c>
      <c r="D394" t="inlineStr">
        <is>
          <t>DALARNAS LÄN</t>
        </is>
      </c>
      <c r="E394" t="inlineStr">
        <is>
          <t>ÄLVDALEN</t>
        </is>
      </c>
      <c r="F394" t="inlineStr">
        <is>
          <t>Övriga statliga verk och myndigheter</t>
        </is>
      </c>
      <c r="G394" t="n">
        <v>43.7</v>
      </c>
      <c r="H394" t="n">
        <v>1</v>
      </c>
      <c r="I394" t="n">
        <v>0</v>
      </c>
      <c r="J394" t="n">
        <v>0</v>
      </c>
      <c r="K394" t="n">
        <v>0</v>
      </c>
      <c r="L394" t="n">
        <v>0</v>
      </c>
      <c r="M394" t="n">
        <v>0</v>
      </c>
      <c r="N394" t="n">
        <v>0</v>
      </c>
      <c r="O394" t="n">
        <v>0</v>
      </c>
      <c r="P394" t="n">
        <v>0</v>
      </c>
      <c r="Q394" t="n">
        <v>1</v>
      </c>
      <c r="R394" s="2" t="inlineStr">
        <is>
          <t>Större vattensalamander</t>
        </is>
      </c>
      <c r="S394">
        <f>HYPERLINK("https://klasma.github.io/Logging_2039/artfynd/A 11061-2021.xlsx", "A 11061-2021")</f>
        <v/>
      </c>
      <c r="T394">
        <f>HYPERLINK("https://klasma.github.io/Logging_2039/kartor/A 11061-2021.png", "A 11061-2021")</f>
        <v/>
      </c>
      <c r="V394">
        <f>HYPERLINK("https://klasma.github.io/Logging_2039/klagomål/A 11061-2021.docx", "A 11061-2021")</f>
        <v/>
      </c>
      <c r="W394">
        <f>HYPERLINK("https://klasma.github.io/Logging_2039/klagomålsmail/A 11061-2021.docx", "A 11061-2021")</f>
        <v/>
      </c>
      <c r="X394">
        <f>HYPERLINK("https://klasma.github.io/Logging_2039/tillsyn/A 11061-2021.docx", "A 11061-2021")</f>
        <v/>
      </c>
      <c r="Y394">
        <f>HYPERLINK("https://klasma.github.io/Logging_2039/tillsynsmail/A 11061-2021.docx", "A 11061-2021")</f>
        <v/>
      </c>
    </row>
    <row r="395" ht="15" customHeight="1">
      <c r="A395" t="inlineStr">
        <is>
          <t>A 12873-2021</t>
        </is>
      </c>
      <c r="B395" s="1" t="n">
        <v>44270</v>
      </c>
      <c r="C395" s="1" t="n">
        <v>45210</v>
      </c>
      <c r="D395" t="inlineStr">
        <is>
          <t>DALARNAS LÄN</t>
        </is>
      </c>
      <c r="E395" t="inlineStr">
        <is>
          <t>GAGNEF</t>
        </is>
      </c>
      <c r="F395" t="inlineStr">
        <is>
          <t>Kommuner</t>
        </is>
      </c>
      <c r="G395" t="n">
        <v>0.8</v>
      </c>
      <c r="H395" t="n">
        <v>1</v>
      </c>
      <c r="I395" t="n">
        <v>0</v>
      </c>
      <c r="J395" t="n">
        <v>1</v>
      </c>
      <c r="K395" t="n">
        <v>0</v>
      </c>
      <c r="L395" t="n">
        <v>0</v>
      </c>
      <c r="M395" t="n">
        <v>0</v>
      </c>
      <c r="N395" t="n">
        <v>0</v>
      </c>
      <c r="O395" t="n">
        <v>1</v>
      </c>
      <c r="P395" t="n">
        <v>0</v>
      </c>
      <c r="Q395" t="n">
        <v>1</v>
      </c>
      <c r="R395" s="2" t="inlineStr">
        <is>
          <t>Mindre hackspett</t>
        </is>
      </c>
      <c r="S395">
        <f>HYPERLINK("https://klasma.github.io/Logging_2026/artfynd/A 12873-2021.xlsx", "A 12873-2021")</f>
        <v/>
      </c>
      <c r="T395">
        <f>HYPERLINK("https://klasma.github.io/Logging_2026/kartor/A 12873-2021.png", "A 12873-2021")</f>
        <v/>
      </c>
      <c r="V395">
        <f>HYPERLINK("https://klasma.github.io/Logging_2026/klagomål/A 12873-2021.docx", "A 12873-2021")</f>
        <v/>
      </c>
      <c r="W395">
        <f>HYPERLINK("https://klasma.github.io/Logging_2026/klagomålsmail/A 12873-2021.docx", "A 12873-2021")</f>
        <v/>
      </c>
      <c r="X395">
        <f>HYPERLINK("https://klasma.github.io/Logging_2026/tillsyn/A 12873-2021.docx", "A 12873-2021")</f>
        <v/>
      </c>
      <c r="Y395">
        <f>HYPERLINK("https://klasma.github.io/Logging_2026/tillsynsmail/A 12873-2021.docx", "A 12873-2021")</f>
        <v/>
      </c>
    </row>
    <row r="396" ht="15" customHeight="1">
      <c r="A396" t="inlineStr">
        <is>
          <t>A 16638-2021</t>
        </is>
      </c>
      <c r="B396" s="1" t="n">
        <v>44284</v>
      </c>
      <c r="C396" s="1" t="n">
        <v>45210</v>
      </c>
      <c r="D396" t="inlineStr">
        <is>
          <t>DALARNAS LÄN</t>
        </is>
      </c>
      <c r="E396" t="inlineStr">
        <is>
          <t>ÄLVDALEN</t>
        </is>
      </c>
      <c r="G396" t="n">
        <v>11.5</v>
      </c>
      <c r="H396" t="n">
        <v>0</v>
      </c>
      <c r="I396" t="n">
        <v>0</v>
      </c>
      <c r="J396" t="n">
        <v>0</v>
      </c>
      <c r="K396" t="n">
        <v>1</v>
      </c>
      <c r="L396" t="n">
        <v>0</v>
      </c>
      <c r="M396" t="n">
        <v>0</v>
      </c>
      <c r="N396" t="n">
        <v>0</v>
      </c>
      <c r="O396" t="n">
        <v>1</v>
      </c>
      <c r="P396" t="n">
        <v>1</v>
      </c>
      <c r="Q396" t="n">
        <v>1</v>
      </c>
      <c r="R396" s="2" t="inlineStr">
        <is>
          <t>Sprickporing</t>
        </is>
      </c>
      <c r="S396">
        <f>HYPERLINK("https://klasma.github.io/Logging_2039/artfynd/A 16638-2021.xlsx", "A 16638-2021")</f>
        <v/>
      </c>
      <c r="T396">
        <f>HYPERLINK("https://klasma.github.io/Logging_2039/kartor/A 16638-2021.png", "A 16638-2021")</f>
        <v/>
      </c>
      <c r="V396">
        <f>HYPERLINK("https://klasma.github.io/Logging_2039/klagomål/A 16638-2021.docx", "A 16638-2021")</f>
        <v/>
      </c>
      <c r="W396">
        <f>HYPERLINK("https://klasma.github.io/Logging_2039/klagomålsmail/A 16638-2021.docx", "A 16638-2021")</f>
        <v/>
      </c>
      <c r="X396">
        <f>HYPERLINK("https://klasma.github.io/Logging_2039/tillsyn/A 16638-2021.docx", "A 16638-2021")</f>
        <v/>
      </c>
      <c r="Y396">
        <f>HYPERLINK("https://klasma.github.io/Logging_2039/tillsynsmail/A 16638-2021.docx", "A 16638-2021")</f>
        <v/>
      </c>
    </row>
    <row r="397" ht="15" customHeight="1">
      <c r="A397" t="inlineStr">
        <is>
          <t>A 18834-2021</t>
        </is>
      </c>
      <c r="B397" s="1" t="n">
        <v>44307</v>
      </c>
      <c r="C397" s="1" t="n">
        <v>45210</v>
      </c>
      <c r="D397" t="inlineStr">
        <is>
          <t>DALARNAS LÄN</t>
        </is>
      </c>
      <c r="E397" t="inlineStr">
        <is>
          <t>VANSBRO</t>
        </is>
      </c>
      <c r="G397" t="n">
        <v>13.9</v>
      </c>
      <c r="H397" t="n">
        <v>0</v>
      </c>
      <c r="I397" t="n">
        <v>1</v>
      </c>
      <c r="J397" t="n">
        <v>0</v>
      </c>
      <c r="K397" t="n">
        <v>0</v>
      </c>
      <c r="L397" t="n">
        <v>0</v>
      </c>
      <c r="M397" t="n">
        <v>0</v>
      </c>
      <c r="N397" t="n">
        <v>0</v>
      </c>
      <c r="O397" t="n">
        <v>0</v>
      </c>
      <c r="P397" t="n">
        <v>0</v>
      </c>
      <c r="Q397" t="n">
        <v>1</v>
      </c>
      <c r="R397" s="2" t="inlineStr">
        <is>
          <t>Dropptaggsvamp</t>
        </is>
      </c>
      <c r="S397">
        <f>HYPERLINK("https://klasma.github.io/Logging_2021/artfynd/A 18834-2021.xlsx", "A 18834-2021")</f>
        <v/>
      </c>
      <c r="T397">
        <f>HYPERLINK("https://klasma.github.io/Logging_2021/kartor/A 18834-2021.png", "A 18834-2021")</f>
        <v/>
      </c>
      <c r="V397">
        <f>HYPERLINK("https://klasma.github.io/Logging_2021/klagomål/A 18834-2021.docx", "A 18834-2021")</f>
        <v/>
      </c>
      <c r="W397">
        <f>HYPERLINK("https://klasma.github.io/Logging_2021/klagomålsmail/A 18834-2021.docx", "A 18834-2021")</f>
        <v/>
      </c>
      <c r="X397">
        <f>HYPERLINK("https://klasma.github.io/Logging_2021/tillsyn/A 18834-2021.docx", "A 18834-2021")</f>
        <v/>
      </c>
      <c r="Y397">
        <f>HYPERLINK("https://klasma.github.io/Logging_2021/tillsynsmail/A 18834-2021.docx", "A 18834-2021")</f>
        <v/>
      </c>
    </row>
    <row r="398" ht="15" customHeight="1">
      <c r="A398" t="inlineStr">
        <is>
          <t>A 19267-2021</t>
        </is>
      </c>
      <c r="B398" s="1" t="n">
        <v>44309</v>
      </c>
      <c r="C398" s="1" t="n">
        <v>45210</v>
      </c>
      <c r="D398" t="inlineStr">
        <is>
          <t>DALARNAS LÄN</t>
        </is>
      </c>
      <c r="E398" t="inlineStr">
        <is>
          <t>FALUN</t>
        </is>
      </c>
      <c r="F398" t="inlineStr">
        <is>
          <t>Bergvik skog väst AB</t>
        </is>
      </c>
      <c r="G398" t="n">
        <v>10.1</v>
      </c>
      <c r="H398" t="n">
        <v>0</v>
      </c>
      <c r="I398" t="n">
        <v>0</v>
      </c>
      <c r="J398" t="n">
        <v>1</v>
      </c>
      <c r="K398" t="n">
        <v>0</v>
      </c>
      <c r="L398" t="n">
        <v>0</v>
      </c>
      <c r="M398" t="n">
        <v>0</v>
      </c>
      <c r="N398" t="n">
        <v>0</v>
      </c>
      <c r="O398" t="n">
        <v>1</v>
      </c>
      <c r="P398" t="n">
        <v>0</v>
      </c>
      <c r="Q398" t="n">
        <v>1</v>
      </c>
      <c r="R398" s="2" t="inlineStr">
        <is>
          <t>Ullticka</t>
        </is>
      </c>
      <c r="S398">
        <f>HYPERLINK("https://klasma.github.io/Logging_2080/artfynd/A 19267-2021.xlsx", "A 19267-2021")</f>
        <v/>
      </c>
      <c r="T398">
        <f>HYPERLINK("https://klasma.github.io/Logging_2080/kartor/A 19267-2021.png", "A 19267-2021")</f>
        <v/>
      </c>
      <c r="V398">
        <f>HYPERLINK("https://klasma.github.io/Logging_2080/klagomål/A 19267-2021.docx", "A 19267-2021")</f>
        <v/>
      </c>
      <c r="W398">
        <f>HYPERLINK("https://klasma.github.io/Logging_2080/klagomålsmail/A 19267-2021.docx", "A 19267-2021")</f>
        <v/>
      </c>
      <c r="X398">
        <f>HYPERLINK("https://klasma.github.io/Logging_2080/tillsyn/A 19267-2021.docx", "A 19267-2021")</f>
        <v/>
      </c>
      <c r="Y398">
        <f>HYPERLINK("https://klasma.github.io/Logging_2080/tillsynsmail/A 19267-2021.docx", "A 19267-2021")</f>
        <v/>
      </c>
    </row>
    <row r="399" ht="15" customHeight="1">
      <c r="A399" t="inlineStr">
        <is>
          <t>A 20921-2021</t>
        </is>
      </c>
      <c r="B399" s="1" t="n">
        <v>44319</v>
      </c>
      <c r="C399" s="1" t="n">
        <v>45210</v>
      </c>
      <c r="D399" t="inlineStr">
        <is>
          <t>DALARNAS LÄN</t>
        </is>
      </c>
      <c r="E399" t="inlineStr">
        <is>
          <t>MALUNG-SÄLEN</t>
        </is>
      </c>
      <c r="G399" t="n">
        <v>1.8</v>
      </c>
      <c r="H399" t="n">
        <v>0</v>
      </c>
      <c r="I399" t="n">
        <v>0</v>
      </c>
      <c r="J399" t="n">
        <v>1</v>
      </c>
      <c r="K399" t="n">
        <v>0</v>
      </c>
      <c r="L399" t="n">
        <v>0</v>
      </c>
      <c r="M399" t="n">
        <v>0</v>
      </c>
      <c r="N399" t="n">
        <v>0</v>
      </c>
      <c r="O399" t="n">
        <v>1</v>
      </c>
      <c r="P399" t="n">
        <v>0</v>
      </c>
      <c r="Q399" t="n">
        <v>1</v>
      </c>
      <c r="R399" s="2" t="inlineStr">
        <is>
          <t>Garnlav</t>
        </is>
      </c>
      <c r="S399">
        <f>HYPERLINK("https://klasma.github.io/Logging_2023/artfynd/A 20921-2021.xlsx", "A 20921-2021")</f>
        <v/>
      </c>
      <c r="T399">
        <f>HYPERLINK("https://klasma.github.io/Logging_2023/kartor/A 20921-2021.png", "A 20921-2021")</f>
        <v/>
      </c>
      <c r="V399">
        <f>HYPERLINK("https://klasma.github.io/Logging_2023/klagomål/A 20921-2021.docx", "A 20921-2021")</f>
        <v/>
      </c>
      <c r="W399">
        <f>HYPERLINK("https://klasma.github.io/Logging_2023/klagomålsmail/A 20921-2021.docx", "A 20921-2021")</f>
        <v/>
      </c>
      <c r="X399">
        <f>HYPERLINK("https://klasma.github.io/Logging_2023/tillsyn/A 20921-2021.docx", "A 20921-2021")</f>
        <v/>
      </c>
      <c r="Y399">
        <f>HYPERLINK("https://klasma.github.io/Logging_2023/tillsynsmail/A 20921-2021.docx", "A 20921-2021")</f>
        <v/>
      </c>
    </row>
    <row r="400" ht="15" customHeight="1">
      <c r="A400" t="inlineStr">
        <is>
          <t>A 24847-2021</t>
        </is>
      </c>
      <c r="B400" s="1" t="n">
        <v>44340</v>
      </c>
      <c r="C400" s="1" t="n">
        <v>45210</v>
      </c>
      <c r="D400" t="inlineStr">
        <is>
          <t>DALARNAS LÄN</t>
        </is>
      </c>
      <c r="E400" t="inlineStr">
        <is>
          <t>ÄLVDALEN</t>
        </is>
      </c>
      <c r="F400" t="inlineStr">
        <is>
          <t>Sveaskog</t>
        </is>
      </c>
      <c r="G400" t="n">
        <v>7.1</v>
      </c>
      <c r="H400" t="n">
        <v>1</v>
      </c>
      <c r="I400" t="n">
        <v>0</v>
      </c>
      <c r="J400" t="n">
        <v>1</v>
      </c>
      <c r="K400" t="n">
        <v>0</v>
      </c>
      <c r="L400" t="n">
        <v>0</v>
      </c>
      <c r="M400" t="n">
        <v>0</v>
      </c>
      <c r="N400" t="n">
        <v>0</v>
      </c>
      <c r="O400" t="n">
        <v>1</v>
      </c>
      <c r="P400" t="n">
        <v>0</v>
      </c>
      <c r="Q400" t="n">
        <v>1</v>
      </c>
      <c r="R400" s="2" t="inlineStr">
        <is>
          <t>Varglav</t>
        </is>
      </c>
      <c r="S400">
        <f>HYPERLINK("https://klasma.github.io/Logging_2039/artfynd/A 24847-2021.xlsx", "A 24847-2021")</f>
        <v/>
      </c>
      <c r="T400">
        <f>HYPERLINK("https://klasma.github.io/Logging_2039/kartor/A 24847-2021.png", "A 24847-2021")</f>
        <v/>
      </c>
      <c r="V400">
        <f>HYPERLINK("https://klasma.github.io/Logging_2039/klagomål/A 24847-2021.docx", "A 24847-2021")</f>
        <v/>
      </c>
      <c r="W400">
        <f>HYPERLINK("https://klasma.github.io/Logging_2039/klagomålsmail/A 24847-2021.docx", "A 24847-2021")</f>
        <v/>
      </c>
      <c r="X400">
        <f>HYPERLINK("https://klasma.github.io/Logging_2039/tillsyn/A 24847-2021.docx", "A 24847-2021")</f>
        <v/>
      </c>
      <c r="Y400">
        <f>HYPERLINK("https://klasma.github.io/Logging_2039/tillsynsmail/A 24847-2021.docx", "A 24847-2021")</f>
        <v/>
      </c>
    </row>
    <row r="401" ht="15" customHeight="1">
      <c r="A401" t="inlineStr">
        <is>
          <t>A 26736-2021</t>
        </is>
      </c>
      <c r="B401" s="1" t="n">
        <v>44349</v>
      </c>
      <c r="C401" s="1" t="n">
        <v>45210</v>
      </c>
      <c r="D401" t="inlineStr">
        <is>
          <t>DALARNAS LÄN</t>
        </is>
      </c>
      <c r="E401" t="inlineStr">
        <is>
          <t>ÄLVDALEN</t>
        </is>
      </c>
      <c r="F401" t="inlineStr">
        <is>
          <t>Sveaskog</t>
        </is>
      </c>
      <c r="G401" t="n">
        <v>5.5</v>
      </c>
      <c r="H401" t="n">
        <v>0</v>
      </c>
      <c r="I401" t="n">
        <v>1</v>
      </c>
      <c r="J401" t="n">
        <v>0</v>
      </c>
      <c r="K401" t="n">
        <v>0</v>
      </c>
      <c r="L401" t="n">
        <v>0</v>
      </c>
      <c r="M401" t="n">
        <v>0</v>
      </c>
      <c r="N401" t="n">
        <v>0</v>
      </c>
      <c r="O401" t="n">
        <v>0</v>
      </c>
      <c r="P401" t="n">
        <v>0</v>
      </c>
      <c r="Q401" t="n">
        <v>1</v>
      </c>
      <c r="R401" s="2" t="inlineStr">
        <is>
          <t>Dropptaggsvamp</t>
        </is>
      </c>
      <c r="S401">
        <f>HYPERLINK("https://klasma.github.io/Logging_2039/artfynd/A 26736-2021.xlsx", "A 26736-2021")</f>
        <v/>
      </c>
      <c r="T401">
        <f>HYPERLINK("https://klasma.github.io/Logging_2039/kartor/A 26736-2021.png", "A 26736-2021")</f>
        <v/>
      </c>
      <c r="V401">
        <f>HYPERLINK("https://klasma.github.io/Logging_2039/klagomål/A 26736-2021.docx", "A 26736-2021")</f>
        <v/>
      </c>
      <c r="W401">
        <f>HYPERLINK("https://klasma.github.io/Logging_2039/klagomålsmail/A 26736-2021.docx", "A 26736-2021")</f>
        <v/>
      </c>
      <c r="X401">
        <f>HYPERLINK("https://klasma.github.io/Logging_2039/tillsyn/A 26736-2021.docx", "A 26736-2021")</f>
        <v/>
      </c>
      <c r="Y401">
        <f>HYPERLINK("https://klasma.github.io/Logging_2039/tillsynsmail/A 26736-2021.docx", "A 26736-2021")</f>
        <v/>
      </c>
    </row>
    <row r="402" ht="15" customHeight="1">
      <c r="A402" t="inlineStr">
        <is>
          <t>A 29527-2021</t>
        </is>
      </c>
      <c r="B402" s="1" t="n">
        <v>44361</v>
      </c>
      <c r="C402" s="1" t="n">
        <v>45210</v>
      </c>
      <c r="D402" t="inlineStr">
        <is>
          <t>DALARNAS LÄN</t>
        </is>
      </c>
      <c r="E402" t="inlineStr">
        <is>
          <t>RÄTTVIK</t>
        </is>
      </c>
      <c r="G402" t="n">
        <v>4.4</v>
      </c>
      <c r="H402" t="n">
        <v>0</v>
      </c>
      <c r="I402" t="n">
        <v>0</v>
      </c>
      <c r="J402" t="n">
        <v>1</v>
      </c>
      <c r="K402" t="n">
        <v>0</v>
      </c>
      <c r="L402" t="n">
        <v>0</v>
      </c>
      <c r="M402" t="n">
        <v>0</v>
      </c>
      <c r="N402" t="n">
        <v>0</v>
      </c>
      <c r="O402" t="n">
        <v>1</v>
      </c>
      <c r="P402" t="n">
        <v>0</v>
      </c>
      <c r="Q402" t="n">
        <v>1</v>
      </c>
      <c r="R402" s="2" t="inlineStr">
        <is>
          <t>Garnlav</t>
        </is>
      </c>
      <c r="S402">
        <f>HYPERLINK("https://klasma.github.io/Logging_2031/artfynd/A 29527-2021.xlsx", "A 29527-2021")</f>
        <v/>
      </c>
      <c r="T402">
        <f>HYPERLINK("https://klasma.github.io/Logging_2031/kartor/A 29527-2021.png", "A 29527-2021")</f>
        <v/>
      </c>
      <c r="V402">
        <f>HYPERLINK("https://klasma.github.io/Logging_2031/klagomål/A 29527-2021.docx", "A 29527-2021")</f>
        <v/>
      </c>
      <c r="W402">
        <f>HYPERLINK("https://klasma.github.io/Logging_2031/klagomålsmail/A 29527-2021.docx", "A 29527-2021")</f>
        <v/>
      </c>
      <c r="X402">
        <f>HYPERLINK("https://klasma.github.io/Logging_2031/tillsyn/A 29527-2021.docx", "A 29527-2021")</f>
        <v/>
      </c>
      <c r="Y402">
        <f>HYPERLINK("https://klasma.github.io/Logging_2031/tillsynsmail/A 29527-2021.docx", "A 29527-2021")</f>
        <v/>
      </c>
    </row>
    <row r="403" ht="15" customHeight="1">
      <c r="A403" t="inlineStr">
        <is>
          <t>A 29908-2021</t>
        </is>
      </c>
      <c r="B403" s="1" t="n">
        <v>44362</v>
      </c>
      <c r="C403" s="1" t="n">
        <v>45210</v>
      </c>
      <c r="D403" t="inlineStr">
        <is>
          <t>DALARNAS LÄN</t>
        </is>
      </c>
      <c r="E403" t="inlineStr">
        <is>
          <t>BORLÄNGE</t>
        </is>
      </c>
      <c r="G403" t="n">
        <v>4.6</v>
      </c>
      <c r="H403" t="n">
        <v>0</v>
      </c>
      <c r="I403" t="n">
        <v>1</v>
      </c>
      <c r="J403" t="n">
        <v>0</v>
      </c>
      <c r="K403" t="n">
        <v>0</v>
      </c>
      <c r="L403" t="n">
        <v>0</v>
      </c>
      <c r="M403" t="n">
        <v>0</v>
      </c>
      <c r="N403" t="n">
        <v>0</v>
      </c>
      <c r="O403" t="n">
        <v>0</v>
      </c>
      <c r="P403" t="n">
        <v>0</v>
      </c>
      <c r="Q403" t="n">
        <v>1</v>
      </c>
      <c r="R403" s="2" t="inlineStr">
        <is>
          <t>Dropptaggsvamp</t>
        </is>
      </c>
      <c r="S403">
        <f>HYPERLINK("https://klasma.github.io/Logging_2081/artfynd/A 29908-2021.xlsx", "A 29908-2021")</f>
        <v/>
      </c>
      <c r="T403">
        <f>HYPERLINK("https://klasma.github.io/Logging_2081/kartor/A 29908-2021.png", "A 29908-2021")</f>
        <v/>
      </c>
      <c r="V403">
        <f>HYPERLINK("https://klasma.github.io/Logging_2081/klagomål/A 29908-2021.docx", "A 29908-2021")</f>
        <v/>
      </c>
      <c r="W403">
        <f>HYPERLINK("https://klasma.github.io/Logging_2081/klagomålsmail/A 29908-2021.docx", "A 29908-2021")</f>
        <v/>
      </c>
      <c r="X403">
        <f>HYPERLINK("https://klasma.github.io/Logging_2081/tillsyn/A 29908-2021.docx", "A 29908-2021")</f>
        <v/>
      </c>
      <c r="Y403">
        <f>HYPERLINK("https://klasma.github.io/Logging_2081/tillsynsmail/A 29908-2021.docx", "A 29908-2021")</f>
        <v/>
      </c>
    </row>
    <row r="404" ht="15" customHeight="1">
      <c r="A404" t="inlineStr">
        <is>
          <t>A 30328-2021</t>
        </is>
      </c>
      <c r="B404" s="1" t="n">
        <v>44364</v>
      </c>
      <c r="C404" s="1" t="n">
        <v>45210</v>
      </c>
      <c r="D404" t="inlineStr">
        <is>
          <t>DALARNAS LÄN</t>
        </is>
      </c>
      <c r="E404" t="inlineStr">
        <is>
          <t>MORA</t>
        </is>
      </c>
      <c r="F404" t="inlineStr">
        <is>
          <t>Bergvik skog öst AB</t>
        </is>
      </c>
      <c r="G404" t="n">
        <v>1.1</v>
      </c>
      <c r="H404" t="n">
        <v>1</v>
      </c>
      <c r="I404" t="n">
        <v>0</v>
      </c>
      <c r="J404" t="n">
        <v>1</v>
      </c>
      <c r="K404" t="n">
        <v>0</v>
      </c>
      <c r="L404" t="n">
        <v>0</v>
      </c>
      <c r="M404" t="n">
        <v>0</v>
      </c>
      <c r="N404" t="n">
        <v>0</v>
      </c>
      <c r="O404" t="n">
        <v>1</v>
      </c>
      <c r="P404" t="n">
        <v>0</v>
      </c>
      <c r="Q404" t="n">
        <v>1</v>
      </c>
      <c r="R404" s="2" t="inlineStr">
        <is>
          <t>Fjällvråk</t>
        </is>
      </c>
      <c r="S404">
        <f>HYPERLINK("https://klasma.github.io/Logging_2062/artfynd/A 30328-2021.xlsx", "A 30328-2021")</f>
        <v/>
      </c>
      <c r="T404">
        <f>HYPERLINK("https://klasma.github.io/Logging_2062/kartor/A 30328-2021.png", "A 30328-2021")</f>
        <v/>
      </c>
      <c r="V404">
        <f>HYPERLINK("https://klasma.github.io/Logging_2062/klagomål/A 30328-2021.docx", "A 30328-2021")</f>
        <v/>
      </c>
      <c r="W404">
        <f>HYPERLINK("https://klasma.github.io/Logging_2062/klagomålsmail/A 30328-2021.docx", "A 30328-2021")</f>
        <v/>
      </c>
      <c r="X404">
        <f>HYPERLINK("https://klasma.github.io/Logging_2062/tillsyn/A 30328-2021.docx", "A 30328-2021")</f>
        <v/>
      </c>
      <c r="Y404">
        <f>HYPERLINK("https://klasma.github.io/Logging_2062/tillsynsmail/A 30328-2021.docx", "A 30328-2021")</f>
        <v/>
      </c>
    </row>
    <row r="405" ht="15" customHeight="1">
      <c r="A405" t="inlineStr">
        <is>
          <t>A 31761-2021</t>
        </is>
      </c>
      <c r="B405" s="1" t="n">
        <v>44370</v>
      </c>
      <c r="C405" s="1" t="n">
        <v>45210</v>
      </c>
      <c r="D405" t="inlineStr">
        <is>
          <t>DALARNAS LÄN</t>
        </is>
      </c>
      <c r="E405" t="inlineStr">
        <is>
          <t>ÄLVDALEN</t>
        </is>
      </c>
      <c r="F405" t="inlineStr">
        <is>
          <t>Sveaskog</t>
        </is>
      </c>
      <c r="G405" t="n">
        <v>29.4</v>
      </c>
      <c r="H405" t="n">
        <v>0</v>
      </c>
      <c r="I405" t="n">
        <v>1</v>
      </c>
      <c r="J405" t="n">
        <v>0</v>
      </c>
      <c r="K405" t="n">
        <v>0</v>
      </c>
      <c r="L405" t="n">
        <v>0</v>
      </c>
      <c r="M405" t="n">
        <v>0</v>
      </c>
      <c r="N405" t="n">
        <v>0</v>
      </c>
      <c r="O405" t="n">
        <v>0</v>
      </c>
      <c r="P405" t="n">
        <v>0</v>
      </c>
      <c r="Q405" t="n">
        <v>1</v>
      </c>
      <c r="R405" s="2" t="inlineStr">
        <is>
          <t>Dropptaggsvamp</t>
        </is>
      </c>
      <c r="S405">
        <f>HYPERLINK("https://klasma.github.io/Logging_2039/artfynd/A 31761-2021.xlsx", "A 31761-2021")</f>
        <v/>
      </c>
      <c r="T405">
        <f>HYPERLINK("https://klasma.github.io/Logging_2039/kartor/A 31761-2021.png", "A 31761-2021")</f>
        <v/>
      </c>
      <c r="V405">
        <f>HYPERLINK("https://klasma.github.io/Logging_2039/klagomål/A 31761-2021.docx", "A 31761-2021")</f>
        <v/>
      </c>
      <c r="W405">
        <f>HYPERLINK("https://klasma.github.io/Logging_2039/klagomålsmail/A 31761-2021.docx", "A 31761-2021")</f>
        <v/>
      </c>
      <c r="X405">
        <f>HYPERLINK("https://klasma.github.io/Logging_2039/tillsyn/A 31761-2021.docx", "A 31761-2021")</f>
        <v/>
      </c>
      <c r="Y405">
        <f>HYPERLINK("https://klasma.github.io/Logging_2039/tillsynsmail/A 31761-2021.docx", "A 31761-2021")</f>
        <v/>
      </c>
    </row>
    <row r="406" ht="15" customHeight="1">
      <c r="A406" t="inlineStr">
        <is>
          <t>A 34099-2021</t>
        </is>
      </c>
      <c r="B406" s="1" t="n">
        <v>44379</v>
      </c>
      <c r="C406" s="1" t="n">
        <v>45210</v>
      </c>
      <c r="D406" t="inlineStr">
        <is>
          <t>DALARNAS LÄN</t>
        </is>
      </c>
      <c r="E406" t="inlineStr">
        <is>
          <t>ÄLVDALEN</t>
        </is>
      </c>
      <c r="F406" t="inlineStr">
        <is>
          <t>Sveaskog</t>
        </is>
      </c>
      <c r="G406" t="n">
        <v>9.4</v>
      </c>
      <c r="H406" t="n">
        <v>1</v>
      </c>
      <c r="I406" t="n">
        <v>0</v>
      </c>
      <c r="J406" t="n">
        <v>1</v>
      </c>
      <c r="K406" t="n">
        <v>0</v>
      </c>
      <c r="L406" t="n">
        <v>0</v>
      </c>
      <c r="M406" t="n">
        <v>0</v>
      </c>
      <c r="N406" t="n">
        <v>0</v>
      </c>
      <c r="O406" t="n">
        <v>1</v>
      </c>
      <c r="P406" t="n">
        <v>0</v>
      </c>
      <c r="Q406" t="n">
        <v>1</v>
      </c>
      <c r="R406" s="2" t="inlineStr">
        <is>
          <t>Varglav</t>
        </is>
      </c>
      <c r="S406">
        <f>HYPERLINK("https://klasma.github.io/Logging_2039/artfynd/A 34099-2021.xlsx", "A 34099-2021")</f>
        <v/>
      </c>
      <c r="T406">
        <f>HYPERLINK("https://klasma.github.io/Logging_2039/kartor/A 34099-2021.png", "A 34099-2021")</f>
        <v/>
      </c>
      <c r="V406">
        <f>HYPERLINK("https://klasma.github.io/Logging_2039/klagomål/A 34099-2021.docx", "A 34099-2021")</f>
        <v/>
      </c>
      <c r="W406">
        <f>HYPERLINK("https://klasma.github.io/Logging_2039/klagomålsmail/A 34099-2021.docx", "A 34099-2021")</f>
        <v/>
      </c>
      <c r="X406">
        <f>HYPERLINK("https://klasma.github.io/Logging_2039/tillsyn/A 34099-2021.docx", "A 34099-2021")</f>
        <v/>
      </c>
      <c r="Y406">
        <f>HYPERLINK("https://klasma.github.io/Logging_2039/tillsynsmail/A 34099-2021.docx", "A 34099-2021")</f>
        <v/>
      </c>
    </row>
    <row r="407" ht="15" customHeight="1">
      <c r="A407" t="inlineStr">
        <is>
          <t>A 36549-2021</t>
        </is>
      </c>
      <c r="B407" s="1" t="n">
        <v>44391</v>
      </c>
      <c r="C407" s="1" t="n">
        <v>45210</v>
      </c>
      <c r="D407" t="inlineStr">
        <is>
          <t>DALARNAS LÄN</t>
        </is>
      </c>
      <c r="E407" t="inlineStr">
        <is>
          <t>LEKSAND</t>
        </is>
      </c>
      <c r="F407" t="inlineStr">
        <is>
          <t>Bergvik skog väst AB</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HYPERLINK("https://klasma.github.io/Logging_2029/artfynd/A 36549-2021.xlsx", "A 36549-2021")</f>
        <v/>
      </c>
      <c r="T407">
        <f>HYPERLINK("https://klasma.github.io/Logging_2029/kartor/A 36549-2021.png", "A 36549-2021")</f>
        <v/>
      </c>
      <c r="V407">
        <f>HYPERLINK("https://klasma.github.io/Logging_2029/klagomål/A 36549-2021.docx", "A 36549-2021")</f>
        <v/>
      </c>
      <c r="W407">
        <f>HYPERLINK("https://klasma.github.io/Logging_2029/klagomålsmail/A 36549-2021.docx", "A 36549-2021")</f>
        <v/>
      </c>
      <c r="X407">
        <f>HYPERLINK("https://klasma.github.io/Logging_2029/tillsyn/A 36549-2021.docx", "A 36549-2021")</f>
        <v/>
      </c>
      <c r="Y407">
        <f>HYPERLINK("https://klasma.github.io/Logging_2029/tillsynsmail/A 36549-2021.docx", "A 36549-2021")</f>
        <v/>
      </c>
    </row>
    <row r="408" ht="15" customHeight="1">
      <c r="A408" t="inlineStr">
        <is>
          <t>A 38674-2021</t>
        </is>
      </c>
      <c r="B408" s="1" t="n">
        <v>44410</v>
      </c>
      <c r="C408" s="1" t="n">
        <v>45210</v>
      </c>
      <c r="D408" t="inlineStr">
        <is>
          <t>DALARNAS LÄN</t>
        </is>
      </c>
      <c r="E408" t="inlineStr">
        <is>
          <t>LUDVIKA</t>
        </is>
      </c>
      <c r="G408" t="n">
        <v>6.3</v>
      </c>
      <c r="H408" t="n">
        <v>0</v>
      </c>
      <c r="I408" t="n">
        <v>0</v>
      </c>
      <c r="J408" t="n">
        <v>1</v>
      </c>
      <c r="K408" t="n">
        <v>0</v>
      </c>
      <c r="L408" t="n">
        <v>0</v>
      </c>
      <c r="M408" t="n">
        <v>0</v>
      </c>
      <c r="N408" t="n">
        <v>0</v>
      </c>
      <c r="O408" t="n">
        <v>1</v>
      </c>
      <c r="P408" t="n">
        <v>0</v>
      </c>
      <c r="Q408" t="n">
        <v>1</v>
      </c>
      <c r="R408" s="2" t="inlineStr">
        <is>
          <t>Dvärgbägarlav</t>
        </is>
      </c>
      <c r="S408">
        <f>HYPERLINK("https://klasma.github.io/Logging_2085/artfynd/A 38674-2021.xlsx", "A 38674-2021")</f>
        <v/>
      </c>
      <c r="T408">
        <f>HYPERLINK("https://klasma.github.io/Logging_2085/kartor/A 38674-2021.png", "A 38674-2021")</f>
        <v/>
      </c>
      <c r="V408">
        <f>HYPERLINK("https://klasma.github.io/Logging_2085/klagomål/A 38674-2021.docx", "A 38674-2021")</f>
        <v/>
      </c>
      <c r="W408">
        <f>HYPERLINK("https://klasma.github.io/Logging_2085/klagomålsmail/A 38674-2021.docx", "A 38674-2021")</f>
        <v/>
      </c>
      <c r="X408">
        <f>HYPERLINK("https://klasma.github.io/Logging_2085/tillsyn/A 38674-2021.docx", "A 38674-2021")</f>
        <v/>
      </c>
      <c r="Y408">
        <f>HYPERLINK("https://klasma.github.io/Logging_2085/tillsynsmail/A 38674-2021.docx", "A 38674-2021")</f>
        <v/>
      </c>
    </row>
    <row r="409" ht="15" customHeight="1">
      <c r="A409" t="inlineStr">
        <is>
          <t>A 38708-2021</t>
        </is>
      </c>
      <c r="B409" s="1" t="n">
        <v>44410</v>
      </c>
      <c r="C409" s="1" t="n">
        <v>45210</v>
      </c>
      <c r="D409" t="inlineStr">
        <is>
          <t>DALARNAS LÄN</t>
        </is>
      </c>
      <c r="E409" t="inlineStr">
        <is>
          <t>BORLÄNGE</t>
        </is>
      </c>
      <c r="G409" t="n">
        <v>1.1</v>
      </c>
      <c r="H409" t="n">
        <v>0</v>
      </c>
      <c r="I409" t="n">
        <v>0</v>
      </c>
      <c r="J409" t="n">
        <v>1</v>
      </c>
      <c r="K409" t="n">
        <v>0</v>
      </c>
      <c r="L409" t="n">
        <v>0</v>
      </c>
      <c r="M409" t="n">
        <v>0</v>
      </c>
      <c r="N409" t="n">
        <v>0</v>
      </c>
      <c r="O409" t="n">
        <v>1</v>
      </c>
      <c r="P409" t="n">
        <v>0</v>
      </c>
      <c r="Q409" t="n">
        <v>1</v>
      </c>
      <c r="R409" s="2" t="inlineStr">
        <is>
          <t>Äggvaxskivling</t>
        </is>
      </c>
      <c r="S409">
        <f>HYPERLINK("https://klasma.github.io/Logging_2081/artfynd/A 38708-2021.xlsx", "A 38708-2021")</f>
        <v/>
      </c>
      <c r="T409">
        <f>HYPERLINK("https://klasma.github.io/Logging_2081/kartor/A 38708-2021.png", "A 38708-2021")</f>
        <v/>
      </c>
      <c r="V409">
        <f>HYPERLINK("https://klasma.github.io/Logging_2081/klagomål/A 38708-2021.docx", "A 38708-2021")</f>
        <v/>
      </c>
      <c r="W409">
        <f>HYPERLINK("https://klasma.github.io/Logging_2081/klagomålsmail/A 38708-2021.docx", "A 38708-2021")</f>
        <v/>
      </c>
      <c r="X409">
        <f>HYPERLINK("https://klasma.github.io/Logging_2081/tillsyn/A 38708-2021.docx", "A 38708-2021")</f>
        <v/>
      </c>
      <c r="Y409">
        <f>HYPERLINK("https://klasma.github.io/Logging_2081/tillsynsmail/A 38708-2021.docx", "A 38708-2021")</f>
        <v/>
      </c>
    </row>
    <row r="410" ht="15" customHeight="1">
      <c r="A410" t="inlineStr">
        <is>
          <t>A 39484-2021</t>
        </is>
      </c>
      <c r="B410" s="1" t="n">
        <v>44414</v>
      </c>
      <c r="C410" s="1" t="n">
        <v>45210</v>
      </c>
      <c r="D410" t="inlineStr">
        <is>
          <t>DALARNAS LÄN</t>
        </is>
      </c>
      <c r="E410" t="inlineStr">
        <is>
          <t>RÄTTVIK</t>
        </is>
      </c>
      <c r="F410" t="inlineStr">
        <is>
          <t>Sveaskog</t>
        </is>
      </c>
      <c r="G410" t="n">
        <v>2.6</v>
      </c>
      <c r="H410" t="n">
        <v>0</v>
      </c>
      <c r="I410" t="n">
        <v>0</v>
      </c>
      <c r="J410" t="n">
        <v>1</v>
      </c>
      <c r="K410" t="n">
        <v>0</v>
      </c>
      <c r="L410" t="n">
        <v>0</v>
      </c>
      <c r="M410" t="n">
        <v>0</v>
      </c>
      <c r="N410" t="n">
        <v>0</v>
      </c>
      <c r="O410" t="n">
        <v>1</v>
      </c>
      <c r="P410" t="n">
        <v>0</v>
      </c>
      <c r="Q410" t="n">
        <v>1</v>
      </c>
      <c r="R410" s="2" t="inlineStr">
        <is>
          <t>Lunglav</t>
        </is>
      </c>
      <c r="S410">
        <f>HYPERLINK("https://klasma.github.io/Logging_2031/artfynd/A 39484-2021.xlsx", "A 39484-2021")</f>
        <v/>
      </c>
      <c r="T410">
        <f>HYPERLINK("https://klasma.github.io/Logging_2031/kartor/A 39484-2021.png", "A 39484-2021")</f>
        <v/>
      </c>
      <c r="V410">
        <f>HYPERLINK("https://klasma.github.io/Logging_2031/klagomål/A 39484-2021.docx", "A 39484-2021")</f>
        <v/>
      </c>
      <c r="W410">
        <f>HYPERLINK("https://klasma.github.io/Logging_2031/klagomålsmail/A 39484-2021.docx", "A 39484-2021")</f>
        <v/>
      </c>
      <c r="X410">
        <f>HYPERLINK("https://klasma.github.io/Logging_2031/tillsyn/A 39484-2021.docx", "A 39484-2021")</f>
        <v/>
      </c>
      <c r="Y410">
        <f>HYPERLINK("https://klasma.github.io/Logging_2031/tillsynsmail/A 39484-2021.docx", "A 39484-2021")</f>
        <v/>
      </c>
    </row>
    <row r="411" ht="15" customHeight="1">
      <c r="A411" t="inlineStr">
        <is>
          <t>A 41718-2021</t>
        </is>
      </c>
      <c r="B411" s="1" t="n">
        <v>44425</v>
      </c>
      <c r="C411" s="1" t="n">
        <v>45210</v>
      </c>
      <c r="D411" t="inlineStr">
        <is>
          <t>DALARNAS LÄN</t>
        </is>
      </c>
      <c r="E411" t="inlineStr">
        <is>
          <t>LEKSAND</t>
        </is>
      </c>
      <c r="F411" t="inlineStr">
        <is>
          <t>Bergvik skog väst AB</t>
        </is>
      </c>
      <c r="G411" t="n">
        <v>5.7</v>
      </c>
      <c r="H411" t="n">
        <v>0</v>
      </c>
      <c r="I411" t="n">
        <v>0</v>
      </c>
      <c r="J411" t="n">
        <v>1</v>
      </c>
      <c r="K411" t="n">
        <v>0</v>
      </c>
      <c r="L411" t="n">
        <v>0</v>
      </c>
      <c r="M411" t="n">
        <v>0</v>
      </c>
      <c r="N411" t="n">
        <v>0</v>
      </c>
      <c r="O411" t="n">
        <v>1</v>
      </c>
      <c r="P411" t="n">
        <v>0</v>
      </c>
      <c r="Q411" t="n">
        <v>1</v>
      </c>
      <c r="R411" s="2" t="inlineStr">
        <is>
          <t>Garnlav</t>
        </is>
      </c>
      <c r="S411">
        <f>HYPERLINK("https://klasma.github.io/Logging_2029/artfynd/A 41718-2021.xlsx", "A 41718-2021")</f>
        <v/>
      </c>
      <c r="T411">
        <f>HYPERLINK("https://klasma.github.io/Logging_2029/kartor/A 41718-2021.png", "A 41718-2021")</f>
        <v/>
      </c>
      <c r="V411">
        <f>HYPERLINK("https://klasma.github.io/Logging_2029/klagomål/A 41718-2021.docx", "A 41718-2021")</f>
        <v/>
      </c>
      <c r="W411">
        <f>HYPERLINK("https://klasma.github.io/Logging_2029/klagomålsmail/A 41718-2021.docx", "A 41718-2021")</f>
        <v/>
      </c>
      <c r="X411">
        <f>HYPERLINK("https://klasma.github.io/Logging_2029/tillsyn/A 41718-2021.docx", "A 41718-2021")</f>
        <v/>
      </c>
      <c r="Y411">
        <f>HYPERLINK("https://klasma.github.io/Logging_2029/tillsynsmail/A 41718-2021.docx", "A 41718-2021")</f>
        <v/>
      </c>
    </row>
    <row r="412" ht="15" customHeight="1">
      <c r="A412" t="inlineStr">
        <is>
          <t>A 41874-2021</t>
        </is>
      </c>
      <c r="B412" s="1" t="n">
        <v>44426</v>
      </c>
      <c r="C412" s="1" t="n">
        <v>45210</v>
      </c>
      <c r="D412" t="inlineStr">
        <is>
          <t>DALARNAS LÄN</t>
        </is>
      </c>
      <c r="E412" t="inlineStr">
        <is>
          <t>BORLÄNGE</t>
        </is>
      </c>
      <c r="G412" t="n">
        <v>13</v>
      </c>
      <c r="H412" t="n">
        <v>0</v>
      </c>
      <c r="I412" t="n">
        <v>1</v>
      </c>
      <c r="J412" t="n">
        <v>0</v>
      </c>
      <c r="K412" t="n">
        <v>0</v>
      </c>
      <c r="L412" t="n">
        <v>0</v>
      </c>
      <c r="M412" t="n">
        <v>0</v>
      </c>
      <c r="N412" t="n">
        <v>0</v>
      </c>
      <c r="O412" t="n">
        <v>0</v>
      </c>
      <c r="P412" t="n">
        <v>0</v>
      </c>
      <c r="Q412" t="n">
        <v>1</v>
      </c>
      <c r="R412" s="2" t="inlineStr">
        <is>
          <t>Skinnlav</t>
        </is>
      </c>
      <c r="S412">
        <f>HYPERLINK("https://klasma.github.io/Logging_2081/artfynd/A 41874-2021.xlsx", "A 41874-2021")</f>
        <v/>
      </c>
      <c r="T412">
        <f>HYPERLINK("https://klasma.github.io/Logging_2081/kartor/A 41874-2021.png", "A 41874-2021")</f>
        <v/>
      </c>
      <c r="V412">
        <f>HYPERLINK("https://klasma.github.io/Logging_2081/klagomål/A 41874-2021.docx", "A 41874-2021")</f>
        <v/>
      </c>
      <c r="W412">
        <f>HYPERLINK("https://klasma.github.io/Logging_2081/klagomålsmail/A 41874-2021.docx", "A 41874-2021")</f>
        <v/>
      </c>
      <c r="X412">
        <f>HYPERLINK("https://klasma.github.io/Logging_2081/tillsyn/A 41874-2021.docx", "A 41874-2021")</f>
        <v/>
      </c>
      <c r="Y412">
        <f>HYPERLINK("https://klasma.github.io/Logging_2081/tillsynsmail/A 41874-2021.docx", "A 41874-2021")</f>
        <v/>
      </c>
    </row>
    <row r="413" ht="15" customHeight="1">
      <c r="A413" t="inlineStr">
        <is>
          <t>A 42272-2021</t>
        </is>
      </c>
      <c r="B413" s="1" t="n">
        <v>44426</v>
      </c>
      <c r="C413" s="1" t="n">
        <v>45210</v>
      </c>
      <c r="D413" t="inlineStr">
        <is>
          <t>DALARNAS LÄN</t>
        </is>
      </c>
      <c r="E413" t="inlineStr">
        <is>
          <t>SMEDJEBACKEN</t>
        </is>
      </c>
      <c r="F413" t="inlineStr">
        <is>
          <t>Bergvik skog väst AB</t>
        </is>
      </c>
      <c r="G413" t="n">
        <v>23.7</v>
      </c>
      <c r="H413" t="n">
        <v>1</v>
      </c>
      <c r="I413" t="n">
        <v>0</v>
      </c>
      <c r="J413" t="n">
        <v>0</v>
      </c>
      <c r="K413" t="n">
        <v>1</v>
      </c>
      <c r="L413" t="n">
        <v>0</v>
      </c>
      <c r="M413" t="n">
        <v>0</v>
      </c>
      <c r="N413" t="n">
        <v>0</v>
      </c>
      <c r="O413" t="n">
        <v>1</v>
      </c>
      <c r="P413" t="n">
        <v>1</v>
      </c>
      <c r="Q413" t="n">
        <v>1</v>
      </c>
      <c r="R413" s="2" t="inlineStr">
        <is>
          <t>Knärot</t>
        </is>
      </c>
      <c r="S413">
        <f>HYPERLINK("https://klasma.github.io/Logging_2061/artfynd/A 42272-2021.xlsx", "A 42272-2021")</f>
        <v/>
      </c>
      <c r="T413">
        <f>HYPERLINK("https://klasma.github.io/Logging_2061/kartor/A 42272-2021.png", "A 42272-2021")</f>
        <v/>
      </c>
      <c r="U413">
        <f>HYPERLINK("https://klasma.github.io/Logging_2061/knärot/A 42272-2021.png", "A 42272-2021")</f>
        <v/>
      </c>
      <c r="V413">
        <f>HYPERLINK("https://klasma.github.io/Logging_2061/klagomål/A 42272-2021.docx", "A 42272-2021")</f>
        <v/>
      </c>
      <c r="W413">
        <f>HYPERLINK("https://klasma.github.io/Logging_2061/klagomålsmail/A 42272-2021.docx", "A 42272-2021")</f>
        <v/>
      </c>
      <c r="X413">
        <f>HYPERLINK("https://klasma.github.io/Logging_2061/tillsyn/A 42272-2021.docx", "A 42272-2021")</f>
        <v/>
      </c>
      <c r="Y413">
        <f>HYPERLINK("https://klasma.github.io/Logging_2061/tillsynsmail/A 42272-2021.docx", "A 42272-2021")</f>
        <v/>
      </c>
    </row>
    <row r="414" ht="15" customHeight="1">
      <c r="A414" t="inlineStr">
        <is>
          <t>A 42981-2021</t>
        </is>
      </c>
      <c r="B414" s="1" t="n">
        <v>44427</v>
      </c>
      <c r="C414" s="1" t="n">
        <v>45210</v>
      </c>
      <c r="D414" t="inlineStr">
        <is>
          <t>DALARNAS LÄN</t>
        </is>
      </c>
      <c r="E414" t="inlineStr">
        <is>
          <t>MALUNG-SÄLEN</t>
        </is>
      </c>
      <c r="G414" t="n">
        <v>3.4</v>
      </c>
      <c r="H414" t="n">
        <v>0</v>
      </c>
      <c r="I414" t="n">
        <v>0</v>
      </c>
      <c r="J414" t="n">
        <v>1</v>
      </c>
      <c r="K414" t="n">
        <v>0</v>
      </c>
      <c r="L414" t="n">
        <v>0</v>
      </c>
      <c r="M414" t="n">
        <v>0</v>
      </c>
      <c r="N414" t="n">
        <v>0</v>
      </c>
      <c r="O414" t="n">
        <v>1</v>
      </c>
      <c r="P414" t="n">
        <v>0</v>
      </c>
      <c r="Q414" t="n">
        <v>1</v>
      </c>
      <c r="R414" s="2" t="inlineStr">
        <is>
          <t>Lunglav</t>
        </is>
      </c>
      <c r="S414">
        <f>HYPERLINK("https://klasma.github.io/Logging_2023/artfynd/A 42981-2021.xlsx", "A 42981-2021")</f>
        <v/>
      </c>
      <c r="T414">
        <f>HYPERLINK("https://klasma.github.io/Logging_2023/kartor/A 42981-2021.png", "A 42981-2021")</f>
        <v/>
      </c>
      <c r="V414">
        <f>HYPERLINK("https://klasma.github.io/Logging_2023/klagomål/A 42981-2021.docx", "A 42981-2021")</f>
        <v/>
      </c>
      <c r="W414">
        <f>HYPERLINK("https://klasma.github.io/Logging_2023/klagomålsmail/A 42981-2021.docx", "A 42981-2021")</f>
        <v/>
      </c>
      <c r="X414">
        <f>HYPERLINK("https://klasma.github.io/Logging_2023/tillsyn/A 42981-2021.docx", "A 42981-2021")</f>
        <v/>
      </c>
      <c r="Y414">
        <f>HYPERLINK("https://klasma.github.io/Logging_2023/tillsynsmail/A 42981-2021.docx", "A 42981-2021")</f>
        <v/>
      </c>
    </row>
    <row r="415" ht="15" customHeight="1">
      <c r="A415" t="inlineStr">
        <is>
          <t>A 43377-2021</t>
        </is>
      </c>
      <c r="B415" s="1" t="n">
        <v>44432</v>
      </c>
      <c r="C415" s="1" t="n">
        <v>45210</v>
      </c>
      <c r="D415" t="inlineStr">
        <is>
          <t>DALARNAS LÄN</t>
        </is>
      </c>
      <c r="E415" t="inlineStr">
        <is>
          <t>SMEDJEBACKEN</t>
        </is>
      </c>
      <c r="G415" t="n">
        <v>2.6</v>
      </c>
      <c r="H415" t="n">
        <v>0</v>
      </c>
      <c r="I415" t="n">
        <v>1</v>
      </c>
      <c r="J415" t="n">
        <v>0</v>
      </c>
      <c r="K415" t="n">
        <v>0</v>
      </c>
      <c r="L415" t="n">
        <v>0</v>
      </c>
      <c r="M415" t="n">
        <v>0</v>
      </c>
      <c r="N415" t="n">
        <v>0</v>
      </c>
      <c r="O415" t="n">
        <v>0</v>
      </c>
      <c r="P415" t="n">
        <v>0</v>
      </c>
      <c r="Q415" t="n">
        <v>1</v>
      </c>
      <c r="R415" s="2" t="inlineStr">
        <is>
          <t>Fjällig taggsvamp s.str.</t>
        </is>
      </c>
      <c r="S415">
        <f>HYPERLINK("https://klasma.github.io/Logging_2061/artfynd/A 43377-2021.xlsx", "A 43377-2021")</f>
        <v/>
      </c>
      <c r="T415">
        <f>HYPERLINK("https://klasma.github.io/Logging_2061/kartor/A 43377-2021.png", "A 43377-2021")</f>
        <v/>
      </c>
      <c r="U415">
        <f>HYPERLINK("https://klasma.github.io/Logging_2061/knärot/A 43377-2021.png", "A 43377-2021")</f>
        <v/>
      </c>
      <c r="V415">
        <f>HYPERLINK("https://klasma.github.io/Logging_2061/klagomål/A 43377-2021.docx", "A 43377-2021")</f>
        <v/>
      </c>
      <c r="W415">
        <f>HYPERLINK("https://klasma.github.io/Logging_2061/klagomålsmail/A 43377-2021.docx", "A 43377-2021")</f>
        <v/>
      </c>
      <c r="X415">
        <f>HYPERLINK("https://klasma.github.io/Logging_2061/tillsyn/A 43377-2021.docx", "A 43377-2021")</f>
        <v/>
      </c>
      <c r="Y415">
        <f>HYPERLINK("https://klasma.github.io/Logging_2061/tillsynsmail/A 43377-2021.docx", "A 43377-2021")</f>
        <v/>
      </c>
    </row>
    <row r="416" ht="15" customHeight="1">
      <c r="A416" t="inlineStr">
        <is>
          <t>A 45205-2021</t>
        </is>
      </c>
      <c r="B416" s="1" t="n">
        <v>44439</v>
      </c>
      <c r="C416" s="1" t="n">
        <v>45210</v>
      </c>
      <c r="D416" t="inlineStr">
        <is>
          <t>DALARNAS LÄN</t>
        </is>
      </c>
      <c r="E416" t="inlineStr">
        <is>
          <t>VANSBRO</t>
        </is>
      </c>
      <c r="G416" t="n">
        <v>1.5</v>
      </c>
      <c r="H416" t="n">
        <v>1</v>
      </c>
      <c r="I416" t="n">
        <v>0</v>
      </c>
      <c r="J416" t="n">
        <v>0</v>
      </c>
      <c r="K416" t="n">
        <v>0</v>
      </c>
      <c r="L416" t="n">
        <v>0</v>
      </c>
      <c r="M416" t="n">
        <v>0</v>
      </c>
      <c r="N416" t="n">
        <v>0</v>
      </c>
      <c r="O416" t="n">
        <v>0</v>
      </c>
      <c r="P416" t="n">
        <v>0</v>
      </c>
      <c r="Q416" t="n">
        <v>1</v>
      </c>
      <c r="R416" s="2" t="inlineStr">
        <is>
          <t>Fläcknycklar</t>
        </is>
      </c>
      <c r="S416">
        <f>HYPERLINK("https://klasma.github.io/Logging_2021/artfynd/A 45205-2021.xlsx", "A 45205-2021")</f>
        <v/>
      </c>
      <c r="T416">
        <f>HYPERLINK("https://klasma.github.io/Logging_2021/kartor/A 45205-2021.png", "A 45205-2021")</f>
        <v/>
      </c>
      <c r="V416">
        <f>HYPERLINK("https://klasma.github.io/Logging_2021/klagomål/A 45205-2021.docx", "A 45205-2021")</f>
        <v/>
      </c>
      <c r="W416">
        <f>HYPERLINK("https://klasma.github.io/Logging_2021/klagomålsmail/A 45205-2021.docx", "A 45205-2021")</f>
        <v/>
      </c>
      <c r="X416">
        <f>HYPERLINK("https://klasma.github.io/Logging_2021/tillsyn/A 45205-2021.docx", "A 45205-2021")</f>
        <v/>
      </c>
      <c r="Y416">
        <f>HYPERLINK("https://klasma.github.io/Logging_2021/tillsynsmail/A 45205-2021.docx", "A 45205-2021")</f>
        <v/>
      </c>
    </row>
    <row r="417" ht="15" customHeight="1">
      <c r="A417" t="inlineStr">
        <is>
          <t>A 49776-2021</t>
        </is>
      </c>
      <c r="B417" s="1" t="n">
        <v>44454</v>
      </c>
      <c r="C417" s="1" t="n">
        <v>45210</v>
      </c>
      <c r="D417" t="inlineStr">
        <is>
          <t>DALARNAS LÄN</t>
        </is>
      </c>
      <c r="E417" t="inlineStr">
        <is>
          <t>BORLÄNGE</t>
        </is>
      </c>
      <c r="G417" t="n">
        <v>0.9</v>
      </c>
      <c r="H417" t="n">
        <v>0</v>
      </c>
      <c r="I417" t="n">
        <v>0</v>
      </c>
      <c r="J417" t="n">
        <v>1</v>
      </c>
      <c r="K417" t="n">
        <v>0</v>
      </c>
      <c r="L417" t="n">
        <v>0</v>
      </c>
      <c r="M417" t="n">
        <v>0</v>
      </c>
      <c r="N417" t="n">
        <v>0</v>
      </c>
      <c r="O417" t="n">
        <v>1</v>
      </c>
      <c r="P417" t="n">
        <v>0</v>
      </c>
      <c r="Q417" t="n">
        <v>1</v>
      </c>
      <c r="R417" s="2" t="inlineStr">
        <is>
          <t>Garnlav</t>
        </is>
      </c>
      <c r="S417">
        <f>HYPERLINK("https://klasma.github.io/Logging_2081/artfynd/A 49776-2021.xlsx", "A 49776-2021")</f>
        <v/>
      </c>
      <c r="T417">
        <f>HYPERLINK("https://klasma.github.io/Logging_2081/kartor/A 49776-2021.png", "A 49776-2021")</f>
        <v/>
      </c>
      <c r="V417">
        <f>HYPERLINK("https://klasma.github.io/Logging_2081/klagomål/A 49776-2021.docx", "A 49776-2021")</f>
        <v/>
      </c>
      <c r="W417">
        <f>HYPERLINK("https://klasma.github.io/Logging_2081/klagomålsmail/A 49776-2021.docx", "A 49776-2021")</f>
        <v/>
      </c>
      <c r="X417">
        <f>HYPERLINK("https://klasma.github.io/Logging_2081/tillsyn/A 49776-2021.docx", "A 49776-2021")</f>
        <v/>
      </c>
      <c r="Y417">
        <f>HYPERLINK("https://klasma.github.io/Logging_2081/tillsynsmail/A 49776-2021.docx", "A 49776-2021")</f>
        <v/>
      </c>
    </row>
    <row r="418" ht="15" customHeight="1">
      <c r="A418" t="inlineStr">
        <is>
          <t>A 50052-2021</t>
        </is>
      </c>
      <c r="B418" s="1" t="n">
        <v>44456</v>
      </c>
      <c r="C418" s="1" t="n">
        <v>45210</v>
      </c>
      <c r="D418" t="inlineStr">
        <is>
          <t>DALARNAS LÄN</t>
        </is>
      </c>
      <c r="E418" t="inlineStr">
        <is>
          <t>LUDVIKA</t>
        </is>
      </c>
      <c r="F418" t="inlineStr">
        <is>
          <t>Bergvik skog väst AB</t>
        </is>
      </c>
      <c r="G418" t="n">
        <v>2</v>
      </c>
      <c r="H418" t="n">
        <v>1</v>
      </c>
      <c r="I418" t="n">
        <v>0</v>
      </c>
      <c r="J418" t="n">
        <v>0</v>
      </c>
      <c r="K418" t="n">
        <v>0</v>
      </c>
      <c r="L418" t="n">
        <v>0</v>
      </c>
      <c r="M418" t="n">
        <v>0</v>
      </c>
      <c r="N418" t="n">
        <v>0</v>
      </c>
      <c r="O418" t="n">
        <v>0</v>
      </c>
      <c r="P418" t="n">
        <v>0</v>
      </c>
      <c r="Q418" t="n">
        <v>1</v>
      </c>
      <c r="R418" s="2" t="inlineStr">
        <is>
          <t>Buskmus</t>
        </is>
      </c>
      <c r="S418">
        <f>HYPERLINK("https://klasma.github.io/Logging_2085/artfynd/A 50052-2021.xlsx", "A 50052-2021")</f>
        <v/>
      </c>
      <c r="T418">
        <f>HYPERLINK("https://klasma.github.io/Logging_2085/kartor/A 50052-2021.png", "A 50052-2021")</f>
        <v/>
      </c>
      <c r="V418">
        <f>HYPERLINK("https://klasma.github.io/Logging_2085/klagomål/A 50052-2021.docx", "A 50052-2021")</f>
        <v/>
      </c>
      <c r="W418">
        <f>HYPERLINK("https://klasma.github.io/Logging_2085/klagomålsmail/A 50052-2021.docx", "A 50052-2021")</f>
        <v/>
      </c>
      <c r="X418">
        <f>HYPERLINK("https://klasma.github.io/Logging_2085/tillsyn/A 50052-2021.docx", "A 50052-2021")</f>
        <v/>
      </c>
      <c r="Y418">
        <f>HYPERLINK("https://klasma.github.io/Logging_2085/tillsynsmail/A 50052-2021.docx", "A 50052-2021")</f>
        <v/>
      </c>
    </row>
    <row r="419" ht="15" customHeight="1">
      <c r="A419" t="inlineStr">
        <is>
          <t>A 50688-2021</t>
        </is>
      </c>
      <c r="B419" s="1" t="n">
        <v>44460</v>
      </c>
      <c r="C419" s="1" t="n">
        <v>45210</v>
      </c>
      <c r="D419" t="inlineStr">
        <is>
          <t>DALARNAS LÄN</t>
        </is>
      </c>
      <c r="E419" t="inlineStr">
        <is>
          <t>VANSBRO</t>
        </is>
      </c>
      <c r="F419" t="inlineStr">
        <is>
          <t>Bergvik skog öst AB</t>
        </is>
      </c>
      <c r="G419" t="n">
        <v>2.3</v>
      </c>
      <c r="H419" t="n">
        <v>0</v>
      </c>
      <c r="I419" t="n">
        <v>0</v>
      </c>
      <c r="J419" t="n">
        <v>0</v>
      </c>
      <c r="K419" t="n">
        <v>1</v>
      </c>
      <c r="L419" t="n">
        <v>0</v>
      </c>
      <c r="M419" t="n">
        <v>0</v>
      </c>
      <c r="N419" t="n">
        <v>0</v>
      </c>
      <c r="O419" t="n">
        <v>1</v>
      </c>
      <c r="P419" t="n">
        <v>1</v>
      </c>
      <c r="Q419" t="n">
        <v>1</v>
      </c>
      <c r="R419" s="2" t="inlineStr">
        <is>
          <t>Rynkskinn</t>
        </is>
      </c>
      <c r="S419">
        <f>HYPERLINK("https://klasma.github.io/Logging_2021/artfynd/A 50688-2021.xlsx", "A 50688-2021")</f>
        <v/>
      </c>
      <c r="T419">
        <f>HYPERLINK("https://klasma.github.io/Logging_2021/kartor/A 50688-2021.png", "A 50688-2021")</f>
        <v/>
      </c>
      <c r="V419">
        <f>HYPERLINK("https://klasma.github.io/Logging_2021/klagomål/A 50688-2021.docx", "A 50688-2021")</f>
        <v/>
      </c>
      <c r="W419">
        <f>HYPERLINK("https://klasma.github.io/Logging_2021/klagomålsmail/A 50688-2021.docx", "A 50688-2021")</f>
        <v/>
      </c>
      <c r="X419">
        <f>HYPERLINK("https://klasma.github.io/Logging_2021/tillsyn/A 50688-2021.docx", "A 50688-2021")</f>
        <v/>
      </c>
      <c r="Y419">
        <f>HYPERLINK("https://klasma.github.io/Logging_2021/tillsynsmail/A 50688-2021.docx", "A 50688-2021")</f>
        <v/>
      </c>
    </row>
    <row r="420" ht="15" customHeight="1">
      <c r="A420" t="inlineStr">
        <is>
          <t>A 51111-2021</t>
        </is>
      </c>
      <c r="B420" s="1" t="n">
        <v>44461</v>
      </c>
      <c r="C420" s="1" t="n">
        <v>45210</v>
      </c>
      <c r="D420" t="inlineStr">
        <is>
          <t>DALARNAS LÄN</t>
        </is>
      </c>
      <c r="E420" t="inlineStr">
        <is>
          <t>HEDEMORA</t>
        </is>
      </c>
      <c r="G420" t="n">
        <v>0.9</v>
      </c>
      <c r="H420" t="n">
        <v>1</v>
      </c>
      <c r="I420" t="n">
        <v>0</v>
      </c>
      <c r="J420" t="n">
        <v>0</v>
      </c>
      <c r="K420" t="n">
        <v>1</v>
      </c>
      <c r="L420" t="n">
        <v>0</v>
      </c>
      <c r="M420" t="n">
        <v>0</v>
      </c>
      <c r="N420" t="n">
        <v>0</v>
      </c>
      <c r="O420" t="n">
        <v>1</v>
      </c>
      <c r="P420" t="n">
        <v>1</v>
      </c>
      <c r="Q420" t="n">
        <v>1</v>
      </c>
      <c r="R420" s="2" t="inlineStr">
        <is>
          <t>Knärot</t>
        </is>
      </c>
      <c r="S420">
        <f>HYPERLINK("https://klasma.github.io/Logging_2083/artfynd/A 51111-2021.xlsx", "A 51111-2021")</f>
        <v/>
      </c>
      <c r="T420">
        <f>HYPERLINK("https://klasma.github.io/Logging_2083/kartor/A 51111-2021.png", "A 51111-2021")</f>
        <v/>
      </c>
      <c r="U420">
        <f>HYPERLINK("https://klasma.github.io/Logging_2083/knärot/A 51111-2021.png", "A 51111-2021")</f>
        <v/>
      </c>
      <c r="V420">
        <f>HYPERLINK("https://klasma.github.io/Logging_2083/klagomål/A 51111-2021.docx", "A 51111-2021")</f>
        <v/>
      </c>
      <c r="W420">
        <f>HYPERLINK("https://klasma.github.io/Logging_2083/klagomålsmail/A 51111-2021.docx", "A 51111-2021")</f>
        <v/>
      </c>
      <c r="X420">
        <f>HYPERLINK("https://klasma.github.io/Logging_2083/tillsyn/A 51111-2021.docx", "A 51111-2021")</f>
        <v/>
      </c>
      <c r="Y420">
        <f>HYPERLINK("https://klasma.github.io/Logging_2083/tillsynsmail/A 51111-2021.docx", "A 51111-2021")</f>
        <v/>
      </c>
    </row>
    <row r="421" ht="15" customHeight="1">
      <c r="A421" t="inlineStr">
        <is>
          <t>A 51579-2021</t>
        </is>
      </c>
      <c r="B421" s="1" t="n">
        <v>44462</v>
      </c>
      <c r="C421" s="1" t="n">
        <v>45210</v>
      </c>
      <c r="D421" t="inlineStr">
        <is>
          <t>DALARNAS LÄN</t>
        </is>
      </c>
      <c r="E421" t="inlineStr">
        <is>
          <t>VANSBRO</t>
        </is>
      </c>
      <c r="F421" t="inlineStr">
        <is>
          <t>Bergvik skog väst AB</t>
        </is>
      </c>
      <c r="G421" t="n">
        <v>14.3</v>
      </c>
      <c r="H421" t="n">
        <v>0</v>
      </c>
      <c r="I421" t="n">
        <v>0</v>
      </c>
      <c r="J421" t="n">
        <v>1</v>
      </c>
      <c r="K421" t="n">
        <v>0</v>
      </c>
      <c r="L421" t="n">
        <v>0</v>
      </c>
      <c r="M421" t="n">
        <v>0</v>
      </c>
      <c r="N421" t="n">
        <v>0</v>
      </c>
      <c r="O421" t="n">
        <v>1</v>
      </c>
      <c r="P421" t="n">
        <v>0</v>
      </c>
      <c r="Q421" t="n">
        <v>1</v>
      </c>
      <c r="R421" s="2" t="inlineStr">
        <is>
          <t>Kolflarnlav</t>
        </is>
      </c>
      <c r="S421">
        <f>HYPERLINK("https://klasma.github.io/Logging_2021/artfynd/A 51579-2021.xlsx", "A 51579-2021")</f>
        <v/>
      </c>
      <c r="T421">
        <f>HYPERLINK("https://klasma.github.io/Logging_2021/kartor/A 51579-2021.png", "A 51579-2021")</f>
        <v/>
      </c>
      <c r="V421">
        <f>HYPERLINK("https://klasma.github.io/Logging_2021/klagomål/A 51579-2021.docx", "A 51579-2021")</f>
        <v/>
      </c>
      <c r="W421">
        <f>HYPERLINK("https://klasma.github.io/Logging_2021/klagomålsmail/A 51579-2021.docx", "A 51579-2021")</f>
        <v/>
      </c>
      <c r="X421">
        <f>HYPERLINK("https://klasma.github.io/Logging_2021/tillsyn/A 51579-2021.docx", "A 51579-2021")</f>
        <v/>
      </c>
      <c r="Y421">
        <f>HYPERLINK("https://klasma.github.io/Logging_2021/tillsynsmail/A 51579-2021.docx", "A 51579-2021")</f>
        <v/>
      </c>
    </row>
    <row r="422" ht="15" customHeight="1">
      <c r="A422" t="inlineStr">
        <is>
          <t>A 52669-2021</t>
        </is>
      </c>
      <c r="B422" s="1" t="n">
        <v>44464</v>
      </c>
      <c r="C422" s="1" t="n">
        <v>45210</v>
      </c>
      <c r="D422" t="inlineStr">
        <is>
          <t>DALARNAS LÄN</t>
        </is>
      </c>
      <c r="E422" t="inlineStr">
        <is>
          <t>MALUNG-SÄLEN</t>
        </is>
      </c>
      <c r="G422" t="n">
        <v>0.2</v>
      </c>
      <c r="H422" t="n">
        <v>0</v>
      </c>
      <c r="I422" t="n">
        <v>0</v>
      </c>
      <c r="J422" t="n">
        <v>1</v>
      </c>
      <c r="K422" t="n">
        <v>0</v>
      </c>
      <c r="L422" t="n">
        <v>0</v>
      </c>
      <c r="M422" t="n">
        <v>0</v>
      </c>
      <c r="N422" t="n">
        <v>0</v>
      </c>
      <c r="O422" t="n">
        <v>1</v>
      </c>
      <c r="P422" t="n">
        <v>0</v>
      </c>
      <c r="Q422" t="n">
        <v>1</v>
      </c>
      <c r="R422" s="2" t="inlineStr">
        <is>
          <t>Garnlav</t>
        </is>
      </c>
      <c r="S422">
        <f>HYPERLINK("https://klasma.github.io/Logging_2023/artfynd/A 52669-2021.xlsx", "A 52669-2021")</f>
        <v/>
      </c>
      <c r="T422">
        <f>HYPERLINK("https://klasma.github.io/Logging_2023/kartor/A 52669-2021.png", "A 52669-2021")</f>
        <v/>
      </c>
      <c r="V422">
        <f>HYPERLINK("https://klasma.github.io/Logging_2023/klagomål/A 52669-2021.docx", "A 52669-2021")</f>
        <v/>
      </c>
      <c r="W422">
        <f>HYPERLINK("https://klasma.github.io/Logging_2023/klagomålsmail/A 52669-2021.docx", "A 52669-2021")</f>
        <v/>
      </c>
      <c r="X422">
        <f>HYPERLINK("https://klasma.github.io/Logging_2023/tillsyn/A 52669-2021.docx", "A 52669-2021")</f>
        <v/>
      </c>
      <c r="Y422">
        <f>HYPERLINK("https://klasma.github.io/Logging_2023/tillsynsmail/A 52669-2021.docx", "A 52669-2021")</f>
        <v/>
      </c>
    </row>
    <row r="423" ht="15" customHeight="1">
      <c r="A423" t="inlineStr">
        <is>
          <t>A 54045-2021</t>
        </is>
      </c>
      <c r="B423" s="1" t="n">
        <v>44470</v>
      </c>
      <c r="C423" s="1" t="n">
        <v>45210</v>
      </c>
      <c r="D423" t="inlineStr">
        <is>
          <t>DALARNAS LÄN</t>
        </is>
      </c>
      <c r="E423" t="inlineStr">
        <is>
          <t>BORLÄNGE</t>
        </is>
      </c>
      <c r="G423" t="n">
        <v>1.3</v>
      </c>
      <c r="H423" t="n">
        <v>1</v>
      </c>
      <c r="I423" t="n">
        <v>0</v>
      </c>
      <c r="J423" t="n">
        <v>0</v>
      </c>
      <c r="K423" t="n">
        <v>0</v>
      </c>
      <c r="L423" t="n">
        <v>0</v>
      </c>
      <c r="M423" t="n">
        <v>0</v>
      </c>
      <c r="N423" t="n">
        <v>0</v>
      </c>
      <c r="O423" t="n">
        <v>0</v>
      </c>
      <c r="P423" t="n">
        <v>0</v>
      </c>
      <c r="Q423" t="n">
        <v>1</v>
      </c>
      <c r="R423" s="2" t="inlineStr">
        <is>
          <t>Fläcknycklar</t>
        </is>
      </c>
      <c r="S423">
        <f>HYPERLINK("https://klasma.github.io/Logging_2081/artfynd/A 54045-2021.xlsx", "A 54045-2021")</f>
        <v/>
      </c>
      <c r="T423">
        <f>HYPERLINK("https://klasma.github.io/Logging_2081/kartor/A 54045-2021.png", "A 54045-2021")</f>
        <v/>
      </c>
      <c r="V423">
        <f>HYPERLINK("https://klasma.github.io/Logging_2081/klagomål/A 54045-2021.docx", "A 54045-2021")</f>
        <v/>
      </c>
      <c r="W423">
        <f>HYPERLINK("https://klasma.github.io/Logging_2081/klagomålsmail/A 54045-2021.docx", "A 54045-2021")</f>
        <v/>
      </c>
      <c r="X423">
        <f>HYPERLINK("https://klasma.github.io/Logging_2081/tillsyn/A 54045-2021.docx", "A 54045-2021")</f>
        <v/>
      </c>
      <c r="Y423">
        <f>HYPERLINK("https://klasma.github.io/Logging_2081/tillsynsmail/A 54045-2021.docx", "A 54045-2021")</f>
        <v/>
      </c>
    </row>
    <row r="424" ht="15" customHeight="1">
      <c r="A424" t="inlineStr">
        <is>
          <t>A 54699-2021</t>
        </is>
      </c>
      <c r="B424" s="1" t="n">
        <v>44473</v>
      </c>
      <c r="C424" s="1" t="n">
        <v>45210</v>
      </c>
      <c r="D424" t="inlineStr">
        <is>
          <t>DALARNAS LÄN</t>
        </is>
      </c>
      <c r="E424" t="inlineStr">
        <is>
          <t>BORLÄNGE</t>
        </is>
      </c>
      <c r="F424" t="inlineStr">
        <is>
          <t>Naturvårdsverket</t>
        </is>
      </c>
      <c r="G424" t="n">
        <v>2.5</v>
      </c>
      <c r="H424" t="n">
        <v>1</v>
      </c>
      <c r="I424" t="n">
        <v>0</v>
      </c>
      <c r="J424" t="n">
        <v>0</v>
      </c>
      <c r="K424" t="n">
        <v>1</v>
      </c>
      <c r="L424" t="n">
        <v>0</v>
      </c>
      <c r="M424" t="n">
        <v>0</v>
      </c>
      <c r="N424" t="n">
        <v>0</v>
      </c>
      <c r="O424" t="n">
        <v>1</v>
      </c>
      <c r="P424" t="n">
        <v>1</v>
      </c>
      <c r="Q424" t="n">
        <v>1</v>
      </c>
      <c r="R424" s="2" t="inlineStr">
        <is>
          <t>Knärot</t>
        </is>
      </c>
      <c r="S424">
        <f>HYPERLINK("https://klasma.github.io/Logging_2081/artfynd/A 54699-2021.xlsx", "A 54699-2021")</f>
        <v/>
      </c>
      <c r="T424">
        <f>HYPERLINK("https://klasma.github.io/Logging_2081/kartor/A 54699-2021.png", "A 54699-2021")</f>
        <v/>
      </c>
      <c r="U424">
        <f>HYPERLINK("https://klasma.github.io/Logging_2081/knärot/A 54699-2021.png", "A 54699-2021")</f>
        <v/>
      </c>
      <c r="V424">
        <f>HYPERLINK("https://klasma.github.io/Logging_2081/klagomål/A 54699-2021.docx", "A 54699-2021")</f>
        <v/>
      </c>
      <c r="W424">
        <f>HYPERLINK("https://klasma.github.io/Logging_2081/klagomålsmail/A 54699-2021.docx", "A 54699-2021")</f>
        <v/>
      </c>
      <c r="X424">
        <f>HYPERLINK("https://klasma.github.io/Logging_2081/tillsyn/A 54699-2021.docx", "A 54699-2021")</f>
        <v/>
      </c>
      <c r="Y424">
        <f>HYPERLINK("https://klasma.github.io/Logging_2081/tillsynsmail/A 54699-2021.docx", "A 54699-2021")</f>
        <v/>
      </c>
    </row>
    <row r="425" ht="15" customHeight="1">
      <c r="A425" t="inlineStr">
        <is>
          <t>A 58508-2021</t>
        </is>
      </c>
      <c r="B425" s="1" t="n">
        <v>44488</v>
      </c>
      <c r="C425" s="1" t="n">
        <v>45210</v>
      </c>
      <c r="D425" t="inlineStr">
        <is>
          <t>DALARNAS LÄN</t>
        </is>
      </c>
      <c r="E425" t="inlineStr">
        <is>
          <t>ÄLVDALEN</t>
        </is>
      </c>
      <c r="F425" t="inlineStr">
        <is>
          <t>Sveaskog</t>
        </is>
      </c>
      <c r="G425" t="n">
        <v>13.3</v>
      </c>
      <c r="H425" t="n">
        <v>1</v>
      </c>
      <c r="I425" t="n">
        <v>0</v>
      </c>
      <c r="J425" t="n">
        <v>1</v>
      </c>
      <c r="K425" t="n">
        <v>0</v>
      </c>
      <c r="L425" t="n">
        <v>0</v>
      </c>
      <c r="M425" t="n">
        <v>0</v>
      </c>
      <c r="N425" t="n">
        <v>0</v>
      </c>
      <c r="O425" t="n">
        <v>1</v>
      </c>
      <c r="P425" t="n">
        <v>0</v>
      </c>
      <c r="Q425" t="n">
        <v>1</v>
      </c>
      <c r="R425" s="2" t="inlineStr">
        <is>
          <t>Varglav</t>
        </is>
      </c>
      <c r="S425">
        <f>HYPERLINK("https://klasma.github.io/Logging_2039/artfynd/A 58508-2021.xlsx", "A 58508-2021")</f>
        <v/>
      </c>
      <c r="T425">
        <f>HYPERLINK("https://klasma.github.io/Logging_2039/kartor/A 58508-2021.png", "A 58508-2021")</f>
        <v/>
      </c>
      <c r="V425">
        <f>HYPERLINK("https://klasma.github.io/Logging_2039/klagomål/A 58508-2021.docx", "A 58508-2021")</f>
        <v/>
      </c>
      <c r="W425">
        <f>HYPERLINK("https://klasma.github.io/Logging_2039/klagomålsmail/A 58508-2021.docx", "A 58508-2021")</f>
        <v/>
      </c>
      <c r="X425">
        <f>HYPERLINK("https://klasma.github.io/Logging_2039/tillsyn/A 58508-2021.docx", "A 58508-2021")</f>
        <v/>
      </c>
      <c r="Y425">
        <f>HYPERLINK("https://klasma.github.io/Logging_2039/tillsynsmail/A 58508-2021.docx", "A 58508-2021")</f>
        <v/>
      </c>
    </row>
    <row r="426" ht="15" customHeight="1">
      <c r="A426" t="inlineStr">
        <is>
          <t>A 60477-2021</t>
        </is>
      </c>
      <c r="B426" s="1" t="n">
        <v>44496</v>
      </c>
      <c r="C426" s="1" t="n">
        <v>45210</v>
      </c>
      <c r="D426" t="inlineStr">
        <is>
          <t>DALARNAS LÄN</t>
        </is>
      </c>
      <c r="E426" t="inlineStr">
        <is>
          <t>RÄTTVIK</t>
        </is>
      </c>
      <c r="G426" t="n">
        <v>3.1</v>
      </c>
      <c r="H426" t="n">
        <v>1</v>
      </c>
      <c r="I426" t="n">
        <v>0</v>
      </c>
      <c r="J426" t="n">
        <v>0</v>
      </c>
      <c r="K426" t="n">
        <v>0</v>
      </c>
      <c r="L426" t="n">
        <v>1</v>
      </c>
      <c r="M426" t="n">
        <v>0</v>
      </c>
      <c r="N426" t="n">
        <v>0</v>
      </c>
      <c r="O426" t="n">
        <v>1</v>
      </c>
      <c r="P426" t="n">
        <v>1</v>
      </c>
      <c r="Q426" t="n">
        <v>1</v>
      </c>
      <c r="R426" s="2" t="inlineStr">
        <is>
          <t>Mikroskapania</t>
        </is>
      </c>
      <c r="S426">
        <f>HYPERLINK("https://klasma.github.io/Logging_2031/artfynd/A 60477-2021.xlsx", "A 60477-2021")</f>
        <v/>
      </c>
      <c r="T426">
        <f>HYPERLINK("https://klasma.github.io/Logging_2031/kartor/A 60477-2021.png", "A 60477-2021")</f>
        <v/>
      </c>
      <c r="V426">
        <f>HYPERLINK("https://klasma.github.io/Logging_2031/klagomål/A 60477-2021.docx", "A 60477-2021")</f>
        <v/>
      </c>
      <c r="W426">
        <f>HYPERLINK("https://klasma.github.io/Logging_2031/klagomålsmail/A 60477-2021.docx", "A 60477-2021")</f>
        <v/>
      </c>
      <c r="X426">
        <f>HYPERLINK("https://klasma.github.io/Logging_2031/tillsyn/A 60477-2021.docx", "A 60477-2021")</f>
        <v/>
      </c>
      <c r="Y426">
        <f>HYPERLINK("https://klasma.github.io/Logging_2031/tillsynsmail/A 60477-2021.docx", "A 60477-2021")</f>
        <v/>
      </c>
    </row>
    <row r="427" ht="15" customHeight="1">
      <c r="A427" t="inlineStr">
        <is>
          <t>A 60707-2021</t>
        </is>
      </c>
      <c r="B427" s="1" t="n">
        <v>44496</v>
      </c>
      <c r="C427" s="1" t="n">
        <v>45210</v>
      </c>
      <c r="D427" t="inlineStr">
        <is>
          <t>DALARNAS LÄN</t>
        </is>
      </c>
      <c r="E427" t="inlineStr">
        <is>
          <t>RÄTTVIK</t>
        </is>
      </c>
      <c r="F427" t="inlineStr">
        <is>
          <t>Sveaskog</t>
        </is>
      </c>
      <c r="G427" t="n">
        <v>7.2</v>
      </c>
      <c r="H427" t="n">
        <v>0</v>
      </c>
      <c r="I427" t="n">
        <v>1</v>
      </c>
      <c r="J427" t="n">
        <v>0</v>
      </c>
      <c r="K427" t="n">
        <v>0</v>
      </c>
      <c r="L427" t="n">
        <v>0</v>
      </c>
      <c r="M427" t="n">
        <v>0</v>
      </c>
      <c r="N427" t="n">
        <v>0</v>
      </c>
      <c r="O427" t="n">
        <v>0</v>
      </c>
      <c r="P427" t="n">
        <v>0</v>
      </c>
      <c r="Q427" t="n">
        <v>1</v>
      </c>
      <c r="R427" s="2" t="inlineStr">
        <is>
          <t>Tallfingersvamp</t>
        </is>
      </c>
      <c r="S427">
        <f>HYPERLINK("https://klasma.github.io/Logging_2031/artfynd/A 60707-2021.xlsx", "A 60707-2021")</f>
        <v/>
      </c>
      <c r="T427">
        <f>HYPERLINK("https://klasma.github.io/Logging_2031/kartor/A 60707-2021.png", "A 60707-2021")</f>
        <v/>
      </c>
      <c r="V427">
        <f>HYPERLINK("https://klasma.github.io/Logging_2031/klagomål/A 60707-2021.docx", "A 60707-2021")</f>
        <v/>
      </c>
      <c r="W427">
        <f>HYPERLINK("https://klasma.github.io/Logging_2031/klagomålsmail/A 60707-2021.docx", "A 60707-2021")</f>
        <v/>
      </c>
      <c r="X427">
        <f>HYPERLINK("https://klasma.github.io/Logging_2031/tillsyn/A 60707-2021.docx", "A 60707-2021")</f>
        <v/>
      </c>
      <c r="Y427">
        <f>HYPERLINK("https://klasma.github.io/Logging_2031/tillsynsmail/A 60707-2021.docx", "A 60707-2021")</f>
        <v/>
      </c>
    </row>
    <row r="428" ht="15" customHeight="1">
      <c r="A428" t="inlineStr">
        <is>
          <t>A 64510-2021</t>
        </is>
      </c>
      <c r="B428" s="1" t="n">
        <v>44511</v>
      </c>
      <c r="C428" s="1" t="n">
        <v>45210</v>
      </c>
      <c r="D428" t="inlineStr">
        <is>
          <t>DALARNAS LÄN</t>
        </is>
      </c>
      <c r="E428" t="inlineStr">
        <is>
          <t>GAGNEF</t>
        </is>
      </c>
      <c r="G428" t="n">
        <v>2.7</v>
      </c>
      <c r="H428" t="n">
        <v>0</v>
      </c>
      <c r="I428" t="n">
        <v>0</v>
      </c>
      <c r="J428" t="n">
        <v>1</v>
      </c>
      <c r="K428" t="n">
        <v>0</v>
      </c>
      <c r="L428" t="n">
        <v>0</v>
      </c>
      <c r="M428" t="n">
        <v>0</v>
      </c>
      <c r="N428" t="n">
        <v>0</v>
      </c>
      <c r="O428" t="n">
        <v>1</v>
      </c>
      <c r="P428" t="n">
        <v>0</v>
      </c>
      <c r="Q428" t="n">
        <v>1</v>
      </c>
      <c r="R428" s="2" t="inlineStr">
        <is>
          <t>Grönhjon</t>
        </is>
      </c>
      <c r="S428">
        <f>HYPERLINK("https://klasma.github.io/Logging_2026/artfynd/A 64510-2021.xlsx", "A 64510-2021")</f>
        <v/>
      </c>
      <c r="T428">
        <f>HYPERLINK("https://klasma.github.io/Logging_2026/kartor/A 64510-2021.png", "A 64510-2021")</f>
        <v/>
      </c>
      <c r="V428">
        <f>HYPERLINK("https://klasma.github.io/Logging_2026/klagomål/A 64510-2021.docx", "A 64510-2021")</f>
        <v/>
      </c>
      <c r="W428">
        <f>HYPERLINK("https://klasma.github.io/Logging_2026/klagomålsmail/A 64510-2021.docx", "A 64510-2021")</f>
        <v/>
      </c>
      <c r="X428">
        <f>HYPERLINK("https://klasma.github.io/Logging_2026/tillsyn/A 64510-2021.docx", "A 64510-2021")</f>
        <v/>
      </c>
      <c r="Y428">
        <f>HYPERLINK("https://klasma.github.io/Logging_2026/tillsynsmail/A 64510-2021.docx", "A 64510-2021")</f>
        <v/>
      </c>
    </row>
    <row r="429" ht="15" customHeight="1">
      <c r="A429" t="inlineStr">
        <is>
          <t>A 64451-2021</t>
        </is>
      </c>
      <c r="B429" s="1" t="n">
        <v>44511</v>
      </c>
      <c r="C429" s="1" t="n">
        <v>45210</v>
      </c>
      <c r="D429" t="inlineStr">
        <is>
          <t>DALARNAS LÄN</t>
        </is>
      </c>
      <c r="E429" t="inlineStr">
        <is>
          <t>RÄTTVIK</t>
        </is>
      </c>
      <c r="G429" t="n">
        <v>1.3</v>
      </c>
      <c r="H429" t="n">
        <v>0</v>
      </c>
      <c r="I429" t="n">
        <v>0</v>
      </c>
      <c r="J429" t="n">
        <v>1</v>
      </c>
      <c r="K429" t="n">
        <v>0</v>
      </c>
      <c r="L429" t="n">
        <v>0</v>
      </c>
      <c r="M429" t="n">
        <v>0</v>
      </c>
      <c r="N429" t="n">
        <v>0</v>
      </c>
      <c r="O429" t="n">
        <v>1</v>
      </c>
      <c r="P429" t="n">
        <v>0</v>
      </c>
      <c r="Q429" t="n">
        <v>1</v>
      </c>
      <c r="R429" s="2" t="inlineStr">
        <is>
          <t>Kandelabersvamp</t>
        </is>
      </c>
      <c r="S429">
        <f>HYPERLINK("https://klasma.github.io/Logging_2031/artfynd/A 64451-2021.xlsx", "A 64451-2021")</f>
        <v/>
      </c>
      <c r="T429">
        <f>HYPERLINK("https://klasma.github.io/Logging_2031/kartor/A 64451-2021.png", "A 64451-2021")</f>
        <v/>
      </c>
      <c r="V429">
        <f>HYPERLINK("https://klasma.github.io/Logging_2031/klagomål/A 64451-2021.docx", "A 64451-2021")</f>
        <v/>
      </c>
      <c r="W429">
        <f>HYPERLINK("https://klasma.github.io/Logging_2031/klagomålsmail/A 64451-2021.docx", "A 64451-2021")</f>
        <v/>
      </c>
      <c r="X429">
        <f>HYPERLINK("https://klasma.github.io/Logging_2031/tillsyn/A 64451-2021.docx", "A 64451-2021")</f>
        <v/>
      </c>
      <c r="Y429">
        <f>HYPERLINK("https://klasma.github.io/Logging_2031/tillsynsmail/A 64451-2021.docx", "A 64451-2021")</f>
        <v/>
      </c>
    </row>
    <row r="430" ht="15" customHeight="1">
      <c r="A430" t="inlineStr">
        <is>
          <t>A 65500-2021</t>
        </is>
      </c>
      <c r="B430" s="1" t="n">
        <v>44516</v>
      </c>
      <c r="C430" s="1" t="n">
        <v>45210</v>
      </c>
      <c r="D430" t="inlineStr">
        <is>
          <t>DALARNAS LÄN</t>
        </is>
      </c>
      <c r="E430" t="inlineStr">
        <is>
          <t>ÄLVDALEN</t>
        </is>
      </c>
      <c r="F430" t="inlineStr">
        <is>
          <t>Sveaskog</t>
        </is>
      </c>
      <c r="G430" t="n">
        <v>10.4</v>
      </c>
      <c r="H430" t="n">
        <v>1</v>
      </c>
      <c r="I430" t="n">
        <v>0</v>
      </c>
      <c r="J430" t="n">
        <v>1</v>
      </c>
      <c r="K430" t="n">
        <v>0</v>
      </c>
      <c r="L430" t="n">
        <v>0</v>
      </c>
      <c r="M430" t="n">
        <v>0</v>
      </c>
      <c r="N430" t="n">
        <v>0</v>
      </c>
      <c r="O430" t="n">
        <v>1</v>
      </c>
      <c r="P430" t="n">
        <v>0</v>
      </c>
      <c r="Q430" t="n">
        <v>1</v>
      </c>
      <c r="R430" s="2" t="inlineStr">
        <is>
          <t>Varglav</t>
        </is>
      </c>
      <c r="S430">
        <f>HYPERLINK("https://klasma.github.io/Logging_2039/artfynd/A 65500-2021.xlsx", "A 65500-2021")</f>
        <v/>
      </c>
      <c r="T430">
        <f>HYPERLINK("https://klasma.github.io/Logging_2039/kartor/A 65500-2021.png", "A 65500-2021")</f>
        <v/>
      </c>
      <c r="V430">
        <f>HYPERLINK("https://klasma.github.io/Logging_2039/klagomål/A 65500-2021.docx", "A 65500-2021")</f>
        <v/>
      </c>
      <c r="W430">
        <f>HYPERLINK("https://klasma.github.io/Logging_2039/klagomålsmail/A 65500-2021.docx", "A 65500-2021")</f>
        <v/>
      </c>
      <c r="X430">
        <f>HYPERLINK("https://klasma.github.io/Logging_2039/tillsyn/A 65500-2021.docx", "A 65500-2021")</f>
        <v/>
      </c>
      <c r="Y430">
        <f>HYPERLINK("https://klasma.github.io/Logging_2039/tillsynsmail/A 65500-2021.docx", "A 65500-2021")</f>
        <v/>
      </c>
    </row>
    <row r="431" ht="15" customHeight="1">
      <c r="A431" t="inlineStr">
        <is>
          <t>A 68448-2021</t>
        </is>
      </c>
      <c r="B431" s="1" t="n">
        <v>44529</v>
      </c>
      <c r="C431" s="1" t="n">
        <v>45210</v>
      </c>
      <c r="D431" t="inlineStr">
        <is>
          <t>DALARNAS LÄN</t>
        </is>
      </c>
      <c r="E431" t="inlineStr">
        <is>
          <t>SÄTER</t>
        </is>
      </c>
      <c r="G431" t="n">
        <v>1.4</v>
      </c>
      <c r="H431" t="n">
        <v>1</v>
      </c>
      <c r="I431" t="n">
        <v>0</v>
      </c>
      <c r="J431" t="n">
        <v>0</v>
      </c>
      <c r="K431" t="n">
        <v>1</v>
      </c>
      <c r="L431" t="n">
        <v>0</v>
      </c>
      <c r="M431" t="n">
        <v>0</v>
      </c>
      <c r="N431" t="n">
        <v>0</v>
      </c>
      <c r="O431" t="n">
        <v>1</v>
      </c>
      <c r="P431" t="n">
        <v>1</v>
      </c>
      <c r="Q431" t="n">
        <v>1</v>
      </c>
      <c r="R431" s="2" t="inlineStr">
        <is>
          <t>Knärot</t>
        </is>
      </c>
      <c r="S431">
        <f>HYPERLINK("https://klasma.github.io/Logging_2082/artfynd/A 68448-2021.xlsx", "A 68448-2021")</f>
        <v/>
      </c>
      <c r="T431">
        <f>HYPERLINK("https://klasma.github.io/Logging_2082/kartor/A 68448-2021.png", "A 68448-2021")</f>
        <v/>
      </c>
      <c r="U431">
        <f>HYPERLINK("https://klasma.github.io/Logging_2082/knärot/A 68448-2021.png", "A 68448-2021")</f>
        <v/>
      </c>
      <c r="V431">
        <f>HYPERLINK("https://klasma.github.io/Logging_2082/klagomål/A 68448-2021.docx", "A 68448-2021")</f>
        <v/>
      </c>
      <c r="W431">
        <f>HYPERLINK("https://klasma.github.io/Logging_2082/klagomålsmail/A 68448-2021.docx", "A 68448-2021")</f>
        <v/>
      </c>
      <c r="X431">
        <f>HYPERLINK("https://klasma.github.io/Logging_2082/tillsyn/A 68448-2021.docx", "A 68448-2021")</f>
        <v/>
      </c>
      <c r="Y431">
        <f>HYPERLINK("https://klasma.github.io/Logging_2082/tillsynsmail/A 68448-2021.docx", "A 68448-2021")</f>
        <v/>
      </c>
    </row>
    <row r="432" ht="15" customHeight="1">
      <c r="A432" t="inlineStr">
        <is>
          <t>A 69726-2021</t>
        </is>
      </c>
      <c r="B432" s="1" t="n">
        <v>44532</v>
      </c>
      <c r="C432" s="1" t="n">
        <v>45210</v>
      </c>
      <c r="D432" t="inlineStr">
        <is>
          <t>DALARNAS LÄN</t>
        </is>
      </c>
      <c r="E432" t="inlineStr">
        <is>
          <t>ÄLVDALEN</t>
        </is>
      </c>
      <c r="F432" t="inlineStr">
        <is>
          <t>Sveaskog</t>
        </is>
      </c>
      <c r="G432" t="n">
        <v>7.2</v>
      </c>
      <c r="H432" t="n">
        <v>0</v>
      </c>
      <c r="I432" t="n">
        <v>0</v>
      </c>
      <c r="J432" t="n">
        <v>1</v>
      </c>
      <c r="K432" t="n">
        <v>0</v>
      </c>
      <c r="L432" t="n">
        <v>0</v>
      </c>
      <c r="M432" t="n">
        <v>0</v>
      </c>
      <c r="N432" t="n">
        <v>0</v>
      </c>
      <c r="O432" t="n">
        <v>1</v>
      </c>
      <c r="P432" t="n">
        <v>0</v>
      </c>
      <c r="Q432" t="n">
        <v>1</v>
      </c>
      <c r="R432" s="2" t="inlineStr">
        <is>
          <t>Garnlav</t>
        </is>
      </c>
      <c r="S432">
        <f>HYPERLINK("https://klasma.github.io/Logging_2039/artfynd/A 69726-2021.xlsx", "A 69726-2021")</f>
        <v/>
      </c>
      <c r="T432">
        <f>HYPERLINK("https://klasma.github.io/Logging_2039/kartor/A 69726-2021.png", "A 69726-2021")</f>
        <v/>
      </c>
      <c r="V432">
        <f>HYPERLINK("https://klasma.github.io/Logging_2039/klagomål/A 69726-2021.docx", "A 69726-2021")</f>
        <v/>
      </c>
      <c r="W432">
        <f>HYPERLINK("https://klasma.github.io/Logging_2039/klagomålsmail/A 69726-2021.docx", "A 69726-2021")</f>
        <v/>
      </c>
      <c r="X432">
        <f>HYPERLINK("https://klasma.github.io/Logging_2039/tillsyn/A 69726-2021.docx", "A 69726-2021")</f>
        <v/>
      </c>
      <c r="Y432">
        <f>HYPERLINK("https://klasma.github.io/Logging_2039/tillsynsmail/A 69726-2021.docx", "A 69726-2021")</f>
        <v/>
      </c>
    </row>
    <row r="433" ht="15" customHeight="1">
      <c r="A433" t="inlineStr">
        <is>
          <t>A 72858-2021</t>
        </is>
      </c>
      <c r="B433" s="1" t="n">
        <v>44547</v>
      </c>
      <c r="C433" s="1" t="n">
        <v>45210</v>
      </c>
      <c r="D433" t="inlineStr">
        <is>
          <t>DALARNAS LÄN</t>
        </is>
      </c>
      <c r="E433" t="inlineStr">
        <is>
          <t>LUDVIKA</t>
        </is>
      </c>
      <c r="F433" t="inlineStr">
        <is>
          <t>Kommuner</t>
        </is>
      </c>
      <c r="G433" t="n">
        <v>7</v>
      </c>
      <c r="H433" t="n">
        <v>0</v>
      </c>
      <c r="I433" t="n">
        <v>0</v>
      </c>
      <c r="J433" t="n">
        <v>0</v>
      </c>
      <c r="K433" t="n">
        <v>1</v>
      </c>
      <c r="L433" t="n">
        <v>0</v>
      </c>
      <c r="M433" t="n">
        <v>0</v>
      </c>
      <c r="N433" t="n">
        <v>0</v>
      </c>
      <c r="O433" t="n">
        <v>1</v>
      </c>
      <c r="P433" t="n">
        <v>1</v>
      </c>
      <c r="Q433" t="n">
        <v>1</v>
      </c>
      <c r="R433" s="2" t="inlineStr">
        <is>
          <t>Rynkskinn</t>
        </is>
      </c>
      <c r="S433">
        <f>HYPERLINK("https://klasma.github.io/Logging_2085/artfynd/A 72858-2021.xlsx", "A 72858-2021")</f>
        <v/>
      </c>
      <c r="T433">
        <f>HYPERLINK("https://klasma.github.io/Logging_2085/kartor/A 72858-2021.png", "A 72858-2021")</f>
        <v/>
      </c>
      <c r="V433">
        <f>HYPERLINK("https://klasma.github.io/Logging_2085/klagomål/A 72858-2021.docx", "A 72858-2021")</f>
        <v/>
      </c>
      <c r="W433">
        <f>HYPERLINK("https://klasma.github.io/Logging_2085/klagomålsmail/A 72858-2021.docx", "A 72858-2021")</f>
        <v/>
      </c>
      <c r="X433">
        <f>HYPERLINK("https://klasma.github.io/Logging_2085/tillsyn/A 72858-2021.docx", "A 72858-2021")</f>
        <v/>
      </c>
      <c r="Y433">
        <f>HYPERLINK("https://klasma.github.io/Logging_2085/tillsynsmail/A 72858-2021.docx", "A 72858-2021")</f>
        <v/>
      </c>
    </row>
    <row r="434" ht="15" customHeight="1">
      <c r="A434" t="inlineStr">
        <is>
          <t>A 74401-2021</t>
        </is>
      </c>
      <c r="B434" s="1" t="n">
        <v>44560</v>
      </c>
      <c r="C434" s="1" t="n">
        <v>45210</v>
      </c>
      <c r="D434" t="inlineStr">
        <is>
          <t>DALARNAS LÄN</t>
        </is>
      </c>
      <c r="E434" t="inlineStr">
        <is>
          <t>LUDVIKA</t>
        </is>
      </c>
      <c r="F434" t="inlineStr">
        <is>
          <t>Kommuner</t>
        </is>
      </c>
      <c r="G434" t="n">
        <v>0.6</v>
      </c>
      <c r="H434" t="n">
        <v>0</v>
      </c>
      <c r="I434" t="n">
        <v>1</v>
      </c>
      <c r="J434" t="n">
        <v>0</v>
      </c>
      <c r="K434" t="n">
        <v>0</v>
      </c>
      <c r="L434" t="n">
        <v>0</v>
      </c>
      <c r="M434" t="n">
        <v>0</v>
      </c>
      <c r="N434" t="n">
        <v>0</v>
      </c>
      <c r="O434" t="n">
        <v>0</v>
      </c>
      <c r="P434" t="n">
        <v>0</v>
      </c>
      <c r="Q434" t="n">
        <v>1</v>
      </c>
      <c r="R434" s="2" t="inlineStr">
        <is>
          <t>Gullgröppa</t>
        </is>
      </c>
      <c r="S434">
        <f>HYPERLINK("https://klasma.github.io/Logging_2085/artfynd/A 74401-2021.xlsx", "A 74401-2021")</f>
        <v/>
      </c>
      <c r="T434">
        <f>HYPERLINK("https://klasma.github.io/Logging_2085/kartor/A 74401-2021.png", "A 74401-2021")</f>
        <v/>
      </c>
      <c r="V434">
        <f>HYPERLINK("https://klasma.github.io/Logging_2085/klagomål/A 74401-2021.docx", "A 74401-2021")</f>
        <v/>
      </c>
      <c r="W434">
        <f>HYPERLINK("https://klasma.github.io/Logging_2085/klagomålsmail/A 74401-2021.docx", "A 74401-2021")</f>
        <v/>
      </c>
      <c r="X434">
        <f>HYPERLINK("https://klasma.github.io/Logging_2085/tillsyn/A 74401-2021.docx", "A 74401-2021")</f>
        <v/>
      </c>
      <c r="Y434">
        <f>HYPERLINK("https://klasma.github.io/Logging_2085/tillsynsmail/A 74401-2021.docx", "A 74401-2021")</f>
        <v/>
      </c>
    </row>
    <row r="435" ht="15" customHeight="1">
      <c r="A435" t="inlineStr">
        <is>
          <t>A 734-2022</t>
        </is>
      </c>
      <c r="B435" s="1" t="n">
        <v>44568</v>
      </c>
      <c r="C435" s="1" t="n">
        <v>45210</v>
      </c>
      <c r="D435" t="inlineStr">
        <is>
          <t>DALARNAS LÄN</t>
        </is>
      </c>
      <c r="E435" t="inlineStr">
        <is>
          <t>RÄTTVIK</t>
        </is>
      </c>
      <c r="F435" t="inlineStr">
        <is>
          <t>Sveaskog</t>
        </is>
      </c>
      <c r="G435" t="n">
        <v>1.5</v>
      </c>
      <c r="H435" t="n">
        <v>1</v>
      </c>
      <c r="I435" t="n">
        <v>0</v>
      </c>
      <c r="J435" t="n">
        <v>0</v>
      </c>
      <c r="K435" t="n">
        <v>1</v>
      </c>
      <c r="L435" t="n">
        <v>0</v>
      </c>
      <c r="M435" t="n">
        <v>0</v>
      </c>
      <c r="N435" t="n">
        <v>0</v>
      </c>
      <c r="O435" t="n">
        <v>1</v>
      </c>
      <c r="P435" t="n">
        <v>1</v>
      </c>
      <c r="Q435" t="n">
        <v>1</v>
      </c>
      <c r="R435" s="2" t="inlineStr">
        <is>
          <t>Knärot</t>
        </is>
      </c>
      <c r="S435">
        <f>HYPERLINK("https://klasma.github.io/Logging_2031/artfynd/A 734-2022.xlsx", "A 734-2022")</f>
        <v/>
      </c>
      <c r="T435">
        <f>HYPERLINK("https://klasma.github.io/Logging_2031/kartor/A 734-2022.png", "A 734-2022")</f>
        <v/>
      </c>
      <c r="U435">
        <f>HYPERLINK("https://klasma.github.io/Logging_2031/knärot/A 734-2022.png", "A 734-2022")</f>
        <v/>
      </c>
      <c r="V435">
        <f>HYPERLINK("https://klasma.github.io/Logging_2031/klagomål/A 734-2022.docx", "A 734-2022")</f>
        <v/>
      </c>
      <c r="W435">
        <f>HYPERLINK("https://klasma.github.io/Logging_2031/klagomålsmail/A 734-2022.docx", "A 734-2022")</f>
        <v/>
      </c>
      <c r="X435">
        <f>HYPERLINK("https://klasma.github.io/Logging_2031/tillsyn/A 734-2022.docx", "A 734-2022")</f>
        <v/>
      </c>
      <c r="Y435">
        <f>HYPERLINK("https://klasma.github.io/Logging_2031/tillsynsmail/A 734-2022.docx", "A 734-2022")</f>
        <v/>
      </c>
    </row>
    <row r="436" ht="15" customHeight="1">
      <c r="A436" t="inlineStr">
        <is>
          <t>A 927-2022</t>
        </is>
      </c>
      <c r="B436" s="1" t="n">
        <v>44571</v>
      </c>
      <c r="C436" s="1" t="n">
        <v>45210</v>
      </c>
      <c r="D436" t="inlineStr">
        <is>
          <t>DALARNAS LÄN</t>
        </is>
      </c>
      <c r="E436" t="inlineStr">
        <is>
          <t>LUDVIKA</t>
        </is>
      </c>
      <c r="F436" t="inlineStr">
        <is>
          <t>Allmännings- och besparingsskogar</t>
        </is>
      </c>
      <c r="G436" t="n">
        <v>2.4</v>
      </c>
      <c r="H436" t="n">
        <v>0</v>
      </c>
      <c r="I436" t="n">
        <v>0</v>
      </c>
      <c r="J436" t="n">
        <v>1</v>
      </c>
      <c r="K436" t="n">
        <v>0</v>
      </c>
      <c r="L436" t="n">
        <v>0</v>
      </c>
      <c r="M436" t="n">
        <v>0</v>
      </c>
      <c r="N436" t="n">
        <v>0</v>
      </c>
      <c r="O436" t="n">
        <v>1</v>
      </c>
      <c r="P436" t="n">
        <v>0</v>
      </c>
      <c r="Q436" t="n">
        <v>1</v>
      </c>
      <c r="R436" s="2" t="inlineStr">
        <is>
          <t>Brunklöver</t>
        </is>
      </c>
      <c r="S436">
        <f>HYPERLINK("https://klasma.github.io/Logging_2085/artfynd/A 927-2022.xlsx", "A 927-2022")</f>
        <v/>
      </c>
      <c r="T436">
        <f>HYPERLINK("https://klasma.github.io/Logging_2085/kartor/A 927-2022.png", "A 927-2022")</f>
        <v/>
      </c>
      <c r="V436">
        <f>HYPERLINK("https://klasma.github.io/Logging_2085/klagomål/A 927-2022.docx", "A 927-2022")</f>
        <v/>
      </c>
      <c r="W436">
        <f>HYPERLINK("https://klasma.github.io/Logging_2085/klagomålsmail/A 927-2022.docx", "A 927-2022")</f>
        <v/>
      </c>
      <c r="X436">
        <f>HYPERLINK("https://klasma.github.io/Logging_2085/tillsyn/A 927-2022.docx", "A 927-2022")</f>
        <v/>
      </c>
      <c r="Y436">
        <f>HYPERLINK("https://klasma.github.io/Logging_2085/tillsynsmail/A 927-2022.docx", "A 927-2022")</f>
        <v/>
      </c>
    </row>
    <row r="437" ht="15" customHeight="1">
      <c r="A437" t="inlineStr">
        <is>
          <t>A 1695-2022</t>
        </is>
      </c>
      <c r="B437" s="1" t="n">
        <v>44574</v>
      </c>
      <c r="C437" s="1" t="n">
        <v>45210</v>
      </c>
      <c r="D437" t="inlineStr">
        <is>
          <t>DALARNAS LÄN</t>
        </is>
      </c>
      <c r="E437" t="inlineStr">
        <is>
          <t>AVESTA</t>
        </is>
      </c>
      <c r="G437" t="n">
        <v>6.5</v>
      </c>
      <c r="H437" t="n">
        <v>1</v>
      </c>
      <c r="I437" t="n">
        <v>0</v>
      </c>
      <c r="J437" t="n">
        <v>0</v>
      </c>
      <c r="K437" t="n">
        <v>1</v>
      </c>
      <c r="L437" t="n">
        <v>0</v>
      </c>
      <c r="M437" t="n">
        <v>0</v>
      </c>
      <c r="N437" t="n">
        <v>0</v>
      </c>
      <c r="O437" t="n">
        <v>1</v>
      </c>
      <c r="P437" t="n">
        <v>1</v>
      </c>
      <c r="Q437" t="n">
        <v>1</v>
      </c>
      <c r="R437" s="2" t="inlineStr">
        <is>
          <t>Knärot</t>
        </is>
      </c>
      <c r="S437">
        <f>HYPERLINK("https://klasma.github.io/Logging_2084/artfynd/A 1695-2022.xlsx", "A 1695-2022")</f>
        <v/>
      </c>
      <c r="T437">
        <f>HYPERLINK("https://klasma.github.io/Logging_2084/kartor/A 1695-2022.png", "A 1695-2022")</f>
        <v/>
      </c>
      <c r="U437">
        <f>HYPERLINK("https://klasma.github.io/Logging_2084/knärot/A 1695-2022.png", "A 1695-2022")</f>
        <v/>
      </c>
      <c r="V437">
        <f>HYPERLINK("https://klasma.github.io/Logging_2084/klagomål/A 1695-2022.docx", "A 1695-2022")</f>
        <v/>
      </c>
      <c r="W437">
        <f>HYPERLINK("https://klasma.github.io/Logging_2084/klagomålsmail/A 1695-2022.docx", "A 1695-2022")</f>
        <v/>
      </c>
      <c r="X437">
        <f>HYPERLINK("https://klasma.github.io/Logging_2084/tillsyn/A 1695-2022.docx", "A 1695-2022")</f>
        <v/>
      </c>
      <c r="Y437">
        <f>HYPERLINK("https://klasma.github.io/Logging_2084/tillsynsmail/A 1695-2022.docx", "A 1695-2022")</f>
        <v/>
      </c>
    </row>
    <row r="438" ht="15" customHeight="1">
      <c r="A438" t="inlineStr">
        <is>
          <t>A 6972-2022</t>
        </is>
      </c>
      <c r="B438" s="1" t="n">
        <v>44603</v>
      </c>
      <c r="C438" s="1" t="n">
        <v>45210</v>
      </c>
      <c r="D438" t="inlineStr">
        <is>
          <t>DALARNAS LÄN</t>
        </is>
      </c>
      <c r="E438" t="inlineStr">
        <is>
          <t>BORLÄNGE</t>
        </is>
      </c>
      <c r="G438" t="n">
        <v>3.5</v>
      </c>
      <c r="H438" t="n">
        <v>0</v>
      </c>
      <c r="I438" t="n">
        <v>0</v>
      </c>
      <c r="J438" t="n">
        <v>1</v>
      </c>
      <c r="K438" t="n">
        <v>0</v>
      </c>
      <c r="L438" t="n">
        <v>0</v>
      </c>
      <c r="M438" t="n">
        <v>0</v>
      </c>
      <c r="N438" t="n">
        <v>0</v>
      </c>
      <c r="O438" t="n">
        <v>1</v>
      </c>
      <c r="P438" t="n">
        <v>0</v>
      </c>
      <c r="Q438" t="n">
        <v>1</v>
      </c>
      <c r="R438" s="2" t="inlineStr">
        <is>
          <t>Leptoporus mollis</t>
        </is>
      </c>
      <c r="S438">
        <f>HYPERLINK("https://klasma.github.io/Logging_2081/artfynd/A 6972-2022.xlsx", "A 6972-2022")</f>
        <v/>
      </c>
      <c r="T438">
        <f>HYPERLINK("https://klasma.github.io/Logging_2081/kartor/A 6972-2022.png", "A 6972-2022")</f>
        <v/>
      </c>
      <c r="V438">
        <f>HYPERLINK("https://klasma.github.io/Logging_2081/klagomål/A 6972-2022.docx", "A 6972-2022")</f>
        <v/>
      </c>
      <c r="W438">
        <f>HYPERLINK("https://klasma.github.io/Logging_2081/klagomålsmail/A 6972-2022.docx", "A 6972-2022")</f>
        <v/>
      </c>
      <c r="X438">
        <f>HYPERLINK("https://klasma.github.io/Logging_2081/tillsyn/A 6972-2022.docx", "A 6972-2022")</f>
        <v/>
      </c>
      <c r="Y438">
        <f>HYPERLINK("https://klasma.github.io/Logging_2081/tillsynsmail/A 6972-2022.docx", "A 6972-2022")</f>
        <v/>
      </c>
    </row>
    <row r="439" ht="15" customHeight="1">
      <c r="A439" t="inlineStr">
        <is>
          <t>A 11560-2022</t>
        </is>
      </c>
      <c r="B439" s="1" t="n">
        <v>44631</v>
      </c>
      <c r="C439" s="1" t="n">
        <v>45210</v>
      </c>
      <c r="D439" t="inlineStr">
        <is>
          <t>DALARNAS LÄN</t>
        </is>
      </c>
      <c r="E439" t="inlineStr">
        <is>
          <t>MALUNG-SÄLEN</t>
        </is>
      </c>
      <c r="G439" t="n">
        <v>7.4</v>
      </c>
      <c r="H439" t="n">
        <v>0</v>
      </c>
      <c r="I439" t="n">
        <v>0</v>
      </c>
      <c r="J439" t="n">
        <v>1</v>
      </c>
      <c r="K439" t="n">
        <v>0</v>
      </c>
      <c r="L439" t="n">
        <v>0</v>
      </c>
      <c r="M439" t="n">
        <v>0</v>
      </c>
      <c r="N439" t="n">
        <v>0</v>
      </c>
      <c r="O439" t="n">
        <v>1</v>
      </c>
      <c r="P439" t="n">
        <v>0</v>
      </c>
      <c r="Q439" t="n">
        <v>1</v>
      </c>
      <c r="R439" s="2" t="inlineStr">
        <is>
          <t>Blå taggsvamp</t>
        </is>
      </c>
      <c r="S439">
        <f>HYPERLINK("https://klasma.github.io/Logging_2023/artfynd/A 11560-2022.xlsx", "A 11560-2022")</f>
        <v/>
      </c>
      <c r="T439">
        <f>HYPERLINK("https://klasma.github.io/Logging_2023/kartor/A 11560-2022.png", "A 11560-2022")</f>
        <v/>
      </c>
      <c r="V439">
        <f>HYPERLINK("https://klasma.github.io/Logging_2023/klagomål/A 11560-2022.docx", "A 11560-2022")</f>
        <v/>
      </c>
      <c r="W439">
        <f>HYPERLINK("https://klasma.github.io/Logging_2023/klagomålsmail/A 11560-2022.docx", "A 11560-2022")</f>
        <v/>
      </c>
      <c r="X439">
        <f>HYPERLINK("https://klasma.github.io/Logging_2023/tillsyn/A 11560-2022.docx", "A 11560-2022")</f>
        <v/>
      </c>
      <c r="Y439">
        <f>HYPERLINK("https://klasma.github.io/Logging_2023/tillsynsmail/A 11560-2022.docx", "A 11560-2022")</f>
        <v/>
      </c>
    </row>
    <row r="440" ht="15" customHeight="1">
      <c r="A440" t="inlineStr">
        <is>
          <t>A 19512-2022</t>
        </is>
      </c>
      <c r="B440" s="1" t="n">
        <v>44693</v>
      </c>
      <c r="C440" s="1" t="n">
        <v>45210</v>
      </c>
      <c r="D440" t="inlineStr">
        <is>
          <t>DALARNAS LÄN</t>
        </is>
      </c>
      <c r="E440" t="inlineStr">
        <is>
          <t>LUDVIKA</t>
        </is>
      </c>
      <c r="F440" t="inlineStr">
        <is>
          <t>Bergvik skog väst AB</t>
        </is>
      </c>
      <c r="G440" t="n">
        <v>2.8</v>
      </c>
      <c r="H440" t="n">
        <v>0</v>
      </c>
      <c r="I440" t="n">
        <v>1</v>
      </c>
      <c r="J440" t="n">
        <v>0</v>
      </c>
      <c r="K440" t="n">
        <v>0</v>
      </c>
      <c r="L440" t="n">
        <v>0</v>
      </c>
      <c r="M440" t="n">
        <v>0</v>
      </c>
      <c r="N440" t="n">
        <v>0</v>
      </c>
      <c r="O440" t="n">
        <v>0</v>
      </c>
      <c r="P440" t="n">
        <v>0</v>
      </c>
      <c r="Q440" t="n">
        <v>1</v>
      </c>
      <c r="R440" s="2" t="inlineStr">
        <is>
          <t>Nästlav</t>
        </is>
      </c>
      <c r="S440">
        <f>HYPERLINK("https://klasma.github.io/Logging_2085/artfynd/A 19512-2022.xlsx", "A 19512-2022")</f>
        <v/>
      </c>
      <c r="T440">
        <f>HYPERLINK("https://klasma.github.io/Logging_2085/kartor/A 19512-2022.png", "A 19512-2022")</f>
        <v/>
      </c>
      <c r="V440">
        <f>HYPERLINK("https://klasma.github.io/Logging_2085/klagomål/A 19512-2022.docx", "A 19512-2022")</f>
        <v/>
      </c>
      <c r="W440">
        <f>HYPERLINK("https://klasma.github.io/Logging_2085/klagomålsmail/A 19512-2022.docx", "A 19512-2022")</f>
        <v/>
      </c>
      <c r="X440">
        <f>HYPERLINK("https://klasma.github.io/Logging_2085/tillsyn/A 19512-2022.docx", "A 19512-2022")</f>
        <v/>
      </c>
      <c r="Y440">
        <f>HYPERLINK("https://klasma.github.io/Logging_2085/tillsynsmail/A 19512-2022.docx", "A 19512-2022")</f>
        <v/>
      </c>
    </row>
    <row r="441" ht="15" customHeight="1">
      <c r="A441" t="inlineStr">
        <is>
          <t>A 19717-2022</t>
        </is>
      </c>
      <c r="B441" s="1" t="n">
        <v>44694</v>
      </c>
      <c r="C441" s="1" t="n">
        <v>45210</v>
      </c>
      <c r="D441" t="inlineStr">
        <is>
          <t>DALARNAS LÄN</t>
        </is>
      </c>
      <c r="E441" t="inlineStr">
        <is>
          <t>LUDVIKA</t>
        </is>
      </c>
      <c r="F441" t="inlineStr">
        <is>
          <t>Bergvik skog väst AB</t>
        </is>
      </c>
      <c r="G441" t="n">
        <v>1.1</v>
      </c>
      <c r="H441" t="n">
        <v>0</v>
      </c>
      <c r="I441" t="n">
        <v>1</v>
      </c>
      <c r="J441" t="n">
        <v>0</v>
      </c>
      <c r="K441" t="n">
        <v>0</v>
      </c>
      <c r="L441" t="n">
        <v>0</v>
      </c>
      <c r="M441" t="n">
        <v>0</v>
      </c>
      <c r="N441" t="n">
        <v>0</v>
      </c>
      <c r="O441" t="n">
        <v>0</v>
      </c>
      <c r="P441" t="n">
        <v>0</v>
      </c>
      <c r="Q441" t="n">
        <v>1</v>
      </c>
      <c r="R441" s="2" t="inlineStr">
        <is>
          <t>Vedticka</t>
        </is>
      </c>
      <c r="S441">
        <f>HYPERLINK("https://klasma.github.io/Logging_2085/artfynd/A 19717-2022.xlsx", "A 19717-2022")</f>
        <v/>
      </c>
      <c r="T441">
        <f>HYPERLINK("https://klasma.github.io/Logging_2085/kartor/A 19717-2022.png", "A 19717-2022")</f>
        <v/>
      </c>
      <c r="V441">
        <f>HYPERLINK("https://klasma.github.io/Logging_2085/klagomål/A 19717-2022.docx", "A 19717-2022")</f>
        <v/>
      </c>
      <c r="W441">
        <f>HYPERLINK("https://klasma.github.io/Logging_2085/klagomålsmail/A 19717-2022.docx", "A 19717-2022")</f>
        <v/>
      </c>
      <c r="X441">
        <f>HYPERLINK("https://klasma.github.io/Logging_2085/tillsyn/A 19717-2022.docx", "A 19717-2022")</f>
        <v/>
      </c>
      <c r="Y441">
        <f>HYPERLINK("https://klasma.github.io/Logging_2085/tillsynsmail/A 19717-2022.docx", "A 19717-2022")</f>
        <v/>
      </c>
    </row>
    <row r="442" ht="15" customHeight="1">
      <c r="A442" t="inlineStr">
        <is>
          <t>A 21302-2022</t>
        </is>
      </c>
      <c r="B442" s="1" t="n">
        <v>44705</v>
      </c>
      <c r="C442" s="1" t="n">
        <v>45210</v>
      </c>
      <c r="D442" t="inlineStr">
        <is>
          <t>DALARNAS LÄN</t>
        </is>
      </c>
      <c r="E442" t="inlineStr">
        <is>
          <t>BORLÄNGE</t>
        </is>
      </c>
      <c r="G442" t="n">
        <v>0.9</v>
      </c>
      <c r="H442" t="n">
        <v>1</v>
      </c>
      <c r="I442" t="n">
        <v>0</v>
      </c>
      <c r="J442" t="n">
        <v>1</v>
      </c>
      <c r="K442" t="n">
        <v>0</v>
      </c>
      <c r="L442" t="n">
        <v>0</v>
      </c>
      <c r="M442" t="n">
        <v>0</v>
      </c>
      <c r="N442" t="n">
        <v>0</v>
      </c>
      <c r="O442" t="n">
        <v>1</v>
      </c>
      <c r="P442" t="n">
        <v>0</v>
      </c>
      <c r="Q442" t="n">
        <v>1</v>
      </c>
      <c r="R442" s="2" t="inlineStr">
        <is>
          <t>Brun gräsfjäril</t>
        </is>
      </c>
      <c r="S442">
        <f>HYPERLINK("https://klasma.github.io/Logging_2081/artfynd/A 21302-2022.xlsx", "A 21302-2022")</f>
        <v/>
      </c>
      <c r="T442">
        <f>HYPERLINK("https://klasma.github.io/Logging_2081/kartor/A 21302-2022.png", "A 21302-2022")</f>
        <v/>
      </c>
      <c r="V442">
        <f>HYPERLINK("https://klasma.github.io/Logging_2081/klagomål/A 21302-2022.docx", "A 21302-2022")</f>
        <v/>
      </c>
      <c r="W442">
        <f>HYPERLINK("https://klasma.github.io/Logging_2081/klagomålsmail/A 21302-2022.docx", "A 21302-2022")</f>
        <v/>
      </c>
      <c r="X442">
        <f>HYPERLINK("https://klasma.github.io/Logging_2081/tillsyn/A 21302-2022.docx", "A 21302-2022")</f>
        <v/>
      </c>
      <c r="Y442">
        <f>HYPERLINK("https://klasma.github.io/Logging_2081/tillsynsmail/A 21302-2022.docx", "A 21302-2022")</f>
        <v/>
      </c>
    </row>
    <row r="443" ht="15" customHeight="1">
      <c r="A443" t="inlineStr">
        <is>
          <t>A 21499-2022</t>
        </is>
      </c>
      <c r="B443" s="1" t="n">
        <v>44706</v>
      </c>
      <c r="C443" s="1" t="n">
        <v>45210</v>
      </c>
      <c r="D443" t="inlineStr">
        <is>
          <t>DALARNAS LÄN</t>
        </is>
      </c>
      <c r="E443" t="inlineStr">
        <is>
          <t>LUDVIKA</t>
        </is>
      </c>
      <c r="G443" t="n">
        <v>4.3</v>
      </c>
      <c r="H443" t="n">
        <v>0</v>
      </c>
      <c r="I443" t="n">
        <v>1</v>
      </c>
      <c r="J443" t="n">
        <v>0</v>
      </c>
      <c r="K443" t="n">
        <v>0</v>
      </c>
      <c r="L443" t="n">
        <v>0</v>
      </c>
      <c r="M443" t="n">
        <v>0</v>
      </c>
      <c r="N443" t="n">
        <v>0</v>
      </c>
      <c r="O443" t="n">
        <v>0</v>
      </c>
      <c r="P443" t="n">
        <v>0</v>
      </c>
      <c r="Q443" t="n">
        <v>1</v>
      </c>
      <c r="R443" s="2" t="inlineStr">
        <is>
          <t>Strimspindling</t>
        </is>
      </c>
      <c r="S443">
        <f>HYPERLINK("https://klasma.github.io/Logging_2085/artfynd/A 21499-2022.xlsx", "A 21499-2022")</f>
        <v/>
      </c>
      <c r="T443">
        <f>HYPERLINK("https://klasma.github.io/Logging_2085/kartor/A 21499-2022.png", "A 21499-2022")</f>
        <v/>
      </c>
      <c r="V443">
        <f>HYPERLINK("https://klasma.github.io/Logging_2085/klagomål/A 21499-2022.docx", "A 21499-2022")</f>
        <v/>
      </c>
      <c r="W443">
        <f>HYPERLINK("https://klasma.github.io/Logging_2085/klagomålsmail/A 21499-2022.docx", "A 21499-2022")</f>
        <v/>
      </c>
      <c r="X443">
        <f>HYPERLINK("https://klasma.github.io/Logging_2085/tillsyn/A 21499-2022.docx", "A 21499-2022")</f>
        <v/>
      </c>
      <c r="Y443">
        <f>HYPERLINK("https://klasma.github.io/Logging_2085/tillsynsmail/A 21499-2022.docx", "A 21499-2022")</f>
        <v/>
      </c>
    </row>
    <row r="444" ht="15" customHeight="1">
      <c r="A444" t="inlineStr">
        <is>
          <t>A 23476-2022</t>
        </is>
      </c>
      <c r="B444" s="1" t="n">
        <v>44721</v>
      </c>
      <c r="C444" s="1" t="n">
        <v>45210</v>
      </c>
      <c r="D444" t="inlineStr">
        <is>
          <t>DALARNAS LÄN</t>
        </is>
      </c>
      <c r="E444" t="inlineStr">
        <is>
          <t>MALUNG-SÄLEN</t>
        </is>
      </c>
      <c r="F444" t="inlineStr">
        <is>
          <t>Övriga statliga verk och myndigheter</t>
        </is>
      </c>
      <c r="G444" t="n">
        <v>1.2</v>
      </c>
      <c r="H444" t="n">
        <v>0</v>
      </c>
      <c r="I444" t="n">
        <v>1</v>
      </c>
      <c r="J444" t="n">
        <v>0</v>
      </c>
      <c r="K444" t="n">
        <v>0</v>
      </c>
      <c r="L444" t="n">
        <v>0</v>
      </c>
      <c r="M444" t="n">
        <v>0</v>
      </c>
      <c r="N444" t="n">
        <v>0</v>
      </c>
      <c r="O444" t="n">
        <v>0</v>
      </c>
      <c r="P444" t="n">
        <v>0</v>
      </c>
      <c r="Q444" t="n">
        <v>1</v>
      </c>
      <c r="R444" s="2" t="inlineStr">
        <is>
          <t>Sotlav</t>
        </is>
      </c>
      <c r="S444">
        <f>HYPERLINK("https://klasma.github.io/Logging_2023/artfynd/A 23476-2022.xlsx", "A 23476-2022")</f>
        <v/>
      </c>
      <c r="T444">
        <f>HYPERLINK("https://klasma.github.io/Logging_2023/kartor/A 23476-2022.png", "A 23476-2022")</f>
        <v/>
      </c>
      <c r="V444">
        <f>HYPERLINK("https://klasma.github.io/Logging_2023/klagomål/A 23476-2022.docx", "A 23476-2022")</f>
        <v/>
      </c>
      <c r="W444">
        <f>HYPERLINK("https://klasma.github.io/Logging_2023/klagomålsmail/A 23476-2022.docx", "A 23476-2022")</f>
        <v/>
      </c>
      <c r="X444">
        <f>HYPERLINK("https://klasma.github.io/Logging_2023/tillsyn/A 23476-2022.docx", "A 23476-2022")</f>
        <v/>
      </c>
      <c r="Y444">
        <f>HYPERLINK("https://klasma.github.io/Logging_2023/tillsynsmail/A 23476-2022.docx", "A 23476-2022")</f>
        <v/>
      </c>
    </row>
    <row r="445" ht="15" customHeight="1">
      <c r="A445" t="inlineStr">
        <is>
          <t>A 25675-2022</t>
        </is>
      </c>
      <c r="B445" s="1" t="n">
        <v>44732</v>
      </c>
      <c r="C445" s="1" t="n">
        <v>45210</v>
      </c>
      <c r="D445" t="inlineStr">
        <is>
          <t>DALARNAS LÄN</t>
        </is>
      </c>
      <c r="E445" t="inlineStr">
        <is>
          <t>SÄTER</t>
        </is>
      </c>
      <c r="F445" t="inlineStr">
        <is>
          <t>Bergvik skog väst AB</t>
        </is>
      </c>
      <c r="G445" t="n">
        <v>4.7</v>
      </c>
      <c r="H445" t="n">
        <v>0</v>
      </c>
      <c r="I445" t="n">
        <v>0</v>
      </c>
      <c r="J445" t="n">
        <v>1</v>
      </c>
      <c r="K445" t="n">
        <v>0</v>
      </c>
      <c r="L445" t="n">
        <v>0</v>
      </c>
      <c r="M445" t="n">
        <v>0</v>
      </c>
      <c r="N445" t="n">
        <v>0</v>
      </c>
      <c r="O445" t="n">
        <v>1</v>
      </c>
      <c r="P445" t="n">
        <v>0</v>
      </c>
      <c r="Q445" t="n">
        <v>1</v>
      </c>
      <c r="R445" s="2" t="inlineStr">
        <is>
          <t>Orange taggsvamp</t>
        </is>
      </c>
      <c r="S445">
        <f>HYPERLINK("https://klasma.github.io/Logging_2082/artfynd/A 25675-2022.xlsx", "A 25675-2022")</f>
        <v/>
      </c>
      <c r="T445">
        <f>HYPERLINK("https://klasma.github.io/Logging_2082/kartor/A 25675-2022.png", "A 25675-2022")</f>
        <v/>
      </c>
      <c r="V445">
        <f>HYPERLINK("https://klasma.github.io/Logging_2082/klagomål/A 25675-2022.docx", "A 25675-2022")</f>
        <v/>
      </c>
      <c r="W445">
        <f>HYPERLINK("https://klasma.github.io/Logging_2082/klagomålsmail/A 25675-2022.docx", "A 25675-2022")</f>
        <v/>
      </c>
      <c r="X445">
        <f>HYPERLINK("https://klasma.github.io/Logging_2082/tillsyn/A 25675-2022.docx", "A 25675-2022")</f>
        <v/>
      </c>
      <c r="Y445">
        <f>HYPERLINK("https://klasma.github.io/Logging_2082/tillsynsmail/A 25675-2022.docx", "A 25675-2022")</f>
        <v/>
      </c>
    </row>
    <row r="446" ht="15" customHeight="1">
      <c r="A446" t="inlineStr">
        <is>
          <t>A 31803-2022</t>
        </is>
      </c>
      <c r="B446" s="1" t="n">
        <v>44776</v>
      </c>
      <c r="C446" s="1" t="n">
        <v>45210</v>
      </c>
      <c r="D446" t="inlineStr">
        <is>
          <t>DALARNAS LÄN</t>
        </is>
      </c>
      <c r="E446" t="inlineStr">
        <is>
          <t>SMEDJEBACKEN</t>
        </is>
      </c>
      <c r="F446" t="inlineStr">
        <is>
          <t>Bergvik skog väst AB</t>
        </is>
      </c>
      <c r="G446" t="n">
        <v>9.699999999999999</v>
      </c>
      <c r="H446" t="n">
        <v>1</v>
      </c>
      <c r="I446" t="n">
        <v>0</v>
      </c>
      <c r="J446" t="n">
        <v>1</v>
      </c>
      <c r="K446" t="n">
        <v>0</v>
      </c>
      <c r="L446" t="n">
        <v>0</v>
      </c>
      <c r="M446" t="n">
        <v>0</v>
      </c>
      <c r="N446" t="n">
        <v>0</v>
      </c>
      <c r="O446" t="n">
        <v>1</v>
      </c>
      <c r="P446" t="n">
        <v>0</v>
      </c>
      <c r="Q446" t="n">
        <v>1</v>
      </c>
      <c r="R446" s="2" t="inlineStr">
        <is>
          <t>Spillkråka</t>
        </is>
      </c>
      <c r="S446">
        <f>HYPERLINK("https://klasma.github.io/Logging_2061/artfynd/A 31803-2022.xlsx", "A 31803-2022")</f>
        <v/>
      </c>
      <c r="T446">
        <f>HYPERLINK("https://klasma.github.io/Logging_2061/kartor/A 31803-2022.png", "A 31803-2022")</f>
        <v/>
      </c>
      <c r="V446">
        <f>HYPERLINK("https://klasma.github.io/Logging_2061/klagomål/A 31803-2022.docx", "A 31803-2022")</f>
        <v/>
      </c>
      <c r="W446">
        <f>HYPERLINK("https://klasma.github.io/Logging_2061/klagomålsmail/A 31803-2022.docx", "A 31803-2022")</f>
        <v/>
      </c>
      <c r="X446">
        <f>HYPERLINK("https://klasma.github.io/Logging_2061/tillsyn/A 31803-2022.docx", "A 31803-2022")</f>
        <v/>
      </c>
      <c r="Y446">
        <f>HYPERLINK("https://klasma.github.io/Logging_2061/tillsynsmail/A 31803-2022.docx", "A 31803-2022")</f>
        <v/>
      </c>
    </row>
    <row r="447" ht="15" customHeight="1">
      <c r="A447" t="inlineStr">
        <is>
          <t>A 31793-2022</t>
        </is>
      </c>
      <c r="B447" s="1" t="n">
        <v>44776</v>
      </c>
      <c r="C447" s="1" t="n">
        <v>45210</v>
      </c>
      <c r="D447" t="inlineStr">
        <is>
          <t>DALARNAS LÄN</t>
        </is>
      </c>
      <c r="E447" t="inlineStr">
        <is>
          <t>SMEDJEBACKEN</t>
        </is>
      </c>
      <c r="F447" t="inlineStr">
        <is>
          <t>Bergvik skog väst AB</t>
        </is>
      </c>
      <c r="G447" t="n">
        <v>6.1</v>
      </c>
      <c r="H447" t="n">
        <v>1</v>
      </c>
      <c r="I447" t="n">
        <v>0</v>
      </c>
      <c r="J447" t="n">
        <v>0</v>
      </c>
      <c r="K447" t="n">
        <v>0</v>
      </c>
      <c r="L447" t="n">
        <v>0</v>
      </c>
      <c r="M447" t="n">
        <v>0</v>
      </c>
      <c r="N447" t="n">
        <v>0</v>
      </c>
      <c r="O447" t="n">
        <v>0</v>
      </c>
      <c r="P447" t="n">
        <v>0</v>
      </c>
      <c r="Q447" t="n">
        <v>1</v>
      </c>
      <c r="R447" s="2" t="inlineStr">
        <is>
          <t>Blåsippa</t>
        </is>
      </c>
      <c r="S447">
        <f>HYPERLINK("https://klasma.github.io/Logging_2061/artfynd/A 31793-2022.xlsx", "A 31793-2022")</f>
        <v/>
      </c>
      <c r="T447">
        <f>HYPERLINK("https://klasma.github.io/Logging_2061/kartor/A 31793-2022.png", "A 31793-2022")</f>
        <v/>
      </c>
      <c r="V447">
        <f>HYPERLINK("https://klasma.github.io/Logging_2061/klagomål/A 31793-2022.docx", "A 31793-2022")</f>
        <v/>
      </c>
      <c r="W447">
        <f>HYPERLINK("https://klasma.github.io/Logging_2061/klagomålsmail/A 31793-2022.docx", "A 31793-2022")</f>
        <v/>
      </c>
      <c r="X447">
        <f>HYPERLINK("https://klasma.github.io/Logging_2061/tillsyn/A 31793-2022.docx", "A 31793-2022")</f>
        <v/>
      </c>
      <c r="Y447">
        <f>HYPERLINK("https://klasma.github.io/Logging_2061/tillsynsmail/A 31793-2022.docx", "A 31793-2022")</f>
        <v/>
      </c>
    </row>
    <row r="448" ht="15" customHeight="1">
      <c r="A448" t="inlineStr">
        <is>
          <t>A 33859-2022</t>
        </is>
      </c>
      <c r="B448" s="1" t="n">
        <v>44790</v>
      </c>
      <c r="C448" s="1" t="n">
        <v>45210</v>
      </c>
      <c r="D448" t="inlineStr">
        <is>
          <t>DALARNAS LÄN</t>
        </is>
      </c>
      <c r="E448" t="inlineStr">
        <is>
          <t>MALUNG-SÄLEN</t>
        </is>
      </c>
      <c r="G448" t="n">
        <v>18.8</v>
      </c>
      <c r="H448" t="n">
        <v>1</v>
      </c>
      <c r="I448" t="n">
        <v>0</v>
      </c>
      <c r="J448" t="n">
        <v>1</v>
      </c>
      <c r="K448" t="n">
        <v>0</v>
      </c>
      <c r="L448" t="n">
        <v>0</v>
      </c>
      <c r="M448" t="n">
        <v>0</v>
      </c>
      <c r="N448" t="n">
        <v>0</v>
      </c>
      <c r="O448" t="n">
        <v>1</v>
      </c>
      <c r="P448" t="n">
        <v>0</v>
      </c>
      <c r="Q448" t="n">
        <v>1</v>
      </c>
      <c r="R448" s="2" t="inlineStr">
        <is>
          <t>Nordfladdermus</t>
        </is>
      </c>
      <c r="S448">
        <f>HYPERLINK("https://klasma.github.io/Logging_2023/artfynd/A 33859-2022.xlsx", "A 33859-2022")</f>
        <v/>
      </c>
      <c r="T448">
        <f>HYPERLINK("https://klasma.github.io/Logging_2023/kartor/A 33859-2022.png", "A 33859-2022")</f>
        <v/>
      </c>
      <c r="V448">
        <f>HYPERLINK("https://klasma.github.io/Logging_2023/klagomål/A 33859-2022.docx", "A 33859-2022")</f>
        <v/>
      </c>
      <c r="W448">
        <f>HYPERLINK("https://klasma.github.io/Logging_2023/klagomålsmail/A 33859-2022.docx", "A 33859-2022")</f>
        <v/>
      </c>
      <c r="X448">
        <f>HYPERLINK("https://klasma.github.io/Logging_2023/tillsyn/A 33859-2022.docx", "A 33859-2022")</f>
        <v/>
      </c>
      <c r="Y448">
        <f>HYPERLINK("https://klasma.github.io/Logging_2023/tillsynsmail/A 33859-2022.docx", "A 33859-2022")</f>
        <v/>
      </c>
    </row>
    <row r="449" ht="15" customHeight="1">
      <c r="A449" t="inlineStr">
        <is>
          <t>A 35370-2022</t>
        </is>
      </c>
      <c r="B449" s="1" t="n">
        <v>44798</v>
      </c>
      <c r="C449" s="1" t="n">
        <v>45210</v>
      </c>
      <c r="D449" t="inlineStr">
        <is>
          <t>DALARNAS LÄN</t>
        </is>
      </c>
      <c r="E449" t="inlineStr">
        <is>
          <t>BORLÄNGE</t>
        </is>
      </c>
      <c r="G449" t="n">
        <v>0.4</v>
      </c>
      <c r="H449" t="n">
        <v>0</v>
      </c>
      <c r="I449" t="n">
        <v>0</v>
      </c>
      <c r="J449" t="n">
        <v>1</v>
      </c>
      <c r="K449" t="n">
        <v>0</v>
      </c>
      <c r="L449" t="n">
        <v>0</v>
      </c>
      <c r="M449" t="n">
        <v>0</v>
      </c>
      <c r="N449" t="n">
        <v>0</v>
      </c>
      <c r="O449" t="n">
        <v>1</v>
      </c>
      <c r="P449" t="n">
        <v>0</v>
      </c>
      <c r="Q449" t="n">
        <v>1</v>
      </c>
      <c r="R449" s="2" t="inlineStr">
        <is>
          <t>Garnlav</t>
        </is>
      </c>
      <c r="S449">
        <f>HYPERLINK("https://klasma.github.io/Logging_2081/artfynd/A 35370-2022.xlsx", "A 35370-2022")</f>
        <v/>
      </c>
      <c r="T449">
        <f>HYPERLINK("https://klasma.github.io/Logging_2081/kartor/A 35370-2022.png", "A 35370-2022")</f>
        <v/>
      </c>
      <c r="V449">
        <f>HYPERLINK("https://klasma.github.io/Logging_2081/klagomål/A 35370-2022.docx", "A 35370-2022")</f>
        <v/>
      </c>
      <c r="W449">
        <f>HYPERLINK("https://klasma.github.io/Logging_2081/klagomålsmail/A 35370-2022.docx", "A 35370-2022")</f>
        <v/>
      </c>
      <c r="X449">
        <f>HYPERLINK("https://klasma.github.io/Logging_2081/tillsyn/A 35370-2022.docx", "A 35370-2022")</f>
        <v/>
      </c>
      <c r="Y449">
        <f>HYPERLINK("https://klasma.github.io/Logging_2081/tillsynsmail/A 35370-2022.docx", "A 35370-2022")</f>
        <v/>
      </c>
    </row>
    <row r="450" ht="15" customHeight="1">
      <c r="A450" t="inlineStr">
        <is>
          <t>A 35389-2022</t>
        </is>
      </c>
      <c r="B450" s="1" t="n">
        <v>44798</v>
      </c>
      <c r="C450" s="1" t="n">
        <v>45210</v>
      </c>
      <c r="D450" t="inlineStr">
        <is>
          <t>DALARNAS LÄN</t>
        </is>
      </c>
      <c r="E450" t="inlineStr">
        <is>
          <t>BORLÄNGE</t>
        </is>
      </c>
      <c r="G450" t="n">
        <v>0.5</v>
      </c>
      <c r="H450" t="n">
        <v>0</v>
      </c>
      <c r="I450" t="n">
        <v>0</v>
      </c>
      <c r="J450" t="n">
        <v>1</v>
      </c>
      <c r="K450" t="n">
        <v>0</v>
      </c>
      <c r="L450" t="n">
        <v>0</v>
      </c>
      <c r="M450" t="n">
        <v>0</v>
      </c>
      <c r="N450" t="n">
        <v>0</v>
      </c>
      <c r="O450" t="n">
        <v>1</v>
      </c>
      <c r="P450" t="n">
        <v>0</v>
      </c>
      <c r="Q450" t="n">
        <v>1</v>
      </c>
      <c r="R450" s="2" t="inlineStr">
        <is>
          <t>Garnlav</t>
        </is>
      </c>
      <c r="S450">
        <f>HYPERLINK("https://klasma.github.io/Logging_2081/artfynd/A 35389-2022.xlsx", "A 35389-2022")</f>
        <v/>
      </c>
      <c r="T450">
        <f>HYPERLINK("https://klasma.github.io/Logging_2081/kartor/A 35389-2022.png", "A 35389-2022")</f>
        <v/>
      </c>
      <c r="V450">
        <f>HYPERLINK("https://klasma.github.io/Logging_2081/klagomål/A 35389-2022.docx", "A 35389-2022")</f>
        <v/>
      </c>
      <c r="W450">
        <f>HYPERLINK("https://klasma.github.io/Logging_2081/klagomålsmail/A 35389-2022.docx", "A 35389-2022")</f>
        <v/>
      </c>
      <c r="X450">
        <f>HYPERLINK("https://klasma.github.io/Logging_2081/tillsyn/A 35389-2022.docx", "A 35389-2022")</f>
        <v/>
      </c>
      <c r="Y450">
        <f>HYPERLINK("https://klasma.github.io/Logging_2081/tillsynsmail/A 35389-2022.docx", "A 35389-2022")</f>
        <v/>
      </c>
    </row>
    <row r="451" ht="15" customHeight="1">
      <c r="A451" t="inlineStr">
        <is>
          <t>A 35910-2022</t>
        </is>
      </c>
      <c r="B451" s="1" t="n">
        <v>44802</v>
      </c>
      <c r="C451" s="1" t="n">
        <v>45210</v>
      </c>
      <c r="D451" t="inlineStr">
        <is>
          <t>DALARNAS LÄN</t>
        </is>
      </c>
      <c r="E451" t="inlineStr">
        <is>
          <t>SÄTER</t>
        </is>
      </c>
      <c r="F451" t="inlineStr">
        <is>
          <t>Bergvik skog väst AB</t>
        </is>
      </c>
      <c r="G451" t="n">
        <v>4.8</v>
      </c>
      <c r="H451" t="n">
        <v>0</v>
      </c>
      <c r="I451" t="n">
        <v>0</v>
      </c>
      <c r="J451" t="n">
        <v>0</v>
      </c>
      <c r="K451" t="n">
        <v>1</v>
      </c>
      <c r="L451" t="n">
        <v>0</v>
      </c>
      <c r="M451" t="n">
        <v>0</v>
      </c>
      <c r="N451" t="n">
        <v>0</v>
      </c>
      <c r="O451" t="n">
        <v>1</v>
      </c>
      <c r="P451" t="n">
        <v>1</v>
      </c>
      <c r="Q451" t="n">
        <v>1</v>
      </c>
      <c r="R451" s="2" t="inlineStr">
        <is>
          <t>Slåttergubbe</t>
        </is>
      </c>
      <c r="S451">
        <f>HYPERLINK("https://klasma.github.io/Logging_2082/artfynd/A 35910-2022.xlsx", "A 35910-2022")</f>
        <v/>
      </c>
      <c r="T451">
        <f>HYPERLINK("https://klasma.github.io/Logging_2082/kartor/A 35910-2022.png", "A 35910-2022")</f>
        <v/>
      </c>
      <c r="V451">
        <f>HYPERLINK("https://klasma.github.io/Logging_2082/klagomål/A 35910-2022.docx", "A 35910-2022")</f>
        <v/>
      </c>
      <c r="W451">
        <f>HYPERLINK("https://klasma.github.io/Logging_2082/klagomålsmail/A 35910-2022.docx", "A 35910-2022")</f>
        <v/>
      </c>
      <c r="X451">
        <f>HYPERLINK("https://klasma.github.io/Logging_2082/tillsyn/A 35910-2022.docx", "A 35910-2022")</f>
        <v/>
      </c>
      <c r="Y451">
        <f>HYPERLINK("https://klasma.github.io/Logging_2082/tillsynsmail/A 35910-2022.docx", "A 35910-2022")</f>
        <v/>
      </c>
    </row>
    <row r="452" ht="15" customHeight="1">
      <c r="A452" t="inlineStr">
        <is>
          <t>A 39419-2022</t>
        </is>
      </c>
      <c r="B452" s="1" t="n">
        <v>44818</v>
      </c>
      <c r="C452" s="1" t="n">
        <v>45210</v>
      </c>
      <c r="D452" t="inlineStr">
        <is>
          <t>DALARNAS LÄN</t>
        </is>
      </c>
      <c r="E452" t="inlineStr">
        <is>
          <t>ÄLVDALEN</t>
        </is>
      </c>
      <c r="G452" t="n">
        <v>4.3</v>
      </c>
      <c r="H452" t="n">
        <v>0</v>
      </c>
      <c r="I452" t="n">
        <v>0</v>
      </c>
      <c r="J452" t="n">
        <v>1</v>
      </c>
      <c r="K452" t="n">
        <v>0</v>
      </c>
      <c r="L452" t="n">
        <v>0</v>
      </c>
      <c r="M452" t="n">
        <v>0</v>
      </c>
      <c r="N452" t="n">
        <v>0</v>
      </c>
      <c r="O452" t="n">
        <v>1</v>
      </c>
      <c r="P452" t="n">
        <v>0</v>
      </c>
      <c r="Q452" t="n">
        <v>1</v>
      </c>
      <c r="R452" s="2" t="inlineStr">
        <is>
          <t>Lunglav</t>
        </is>
      </c>
      <c r="S452">
        <f>HYPERLINK("https://klasma.github.io/Logging_2039/artfynd/A 39419-2022.xlsx", "A 39419-2022")</f>
        <v/>
      </c>
      <c r="T452">
        <f>HYPERLINK("https://klasma.github.io/Logging_2039/kartor/A 39419-2022.png", "A 39419-2022")</f>
        <v/>
      </c>
      <c r="V452">
        <f>HYPERLINK("https://klasma.github.io/Logging_2039/klagomål/A 39419-2022.docx", "A 39419-2022")</f>
        <v/>
      </c>
      <c r="W452">
        <f>HYPERLINK("https://klasma.github.io/Logging_2039/klagomålsmail/A 39419-2022.docx", "A 39419-2022")</f>
        <v/>
      </c>
      <c r="X452">
        <f>HYPERLINK("https://klasma.github.io/Logging_2039/tillsyn/A 39419-2022.docx", "A 39419-2022")</f>
        <v/>
      </c>
      <c r="Y452">
        <f>HYPERLINK("https://klasma.github.io/Logging_2039/tillsynsmail/A 39419-2022.docx", "A 39419-2022")</f>
        <v/>
      </c>
    </row>
    <row r="453" ht="15" customHeight="1">
      <c r="A453" t="inlineStr">
        <is>
          <t>A 41336-2022</t>
        </is>
      </c>
      <c r="B453" s="1" t="n">
        <v>44826</v>
      </c>
      <c r="C453" s="1" t="n">
        <v>45210</v>
      </c>
      <c r="D453" t="inlineStr">
        <is>
          <t>DALARNAS LÄN</t>
        </is>
      </c>
      <c r="E453" t="inlineStr">
        <is>
          <t>SMEDJEBACKEN</t>
        </is>
      </c>
      <c r="G453" t="n">
        <v>2.3</v>
      </c>
      <c r="H453" t="n">
        <v>1</v>
      </c>
      <c r="I453" t="n">
        <v>0</v>
      </c>
      <c r="J453" t="n">
        <v>1</v>
      </c>
      <c r="K453" t="n">
        <v>0</v>
      </c>
      <c r="L453" t="n">
        <v>0</v>
      </c>
      <c r="M453" t="n">
        <v>0</v>
      </c>
      <c r="N453" t="n">
        <v>0</v>
      </c>
      <c r="O453" t="n">
        <v>1</v>
      </c>
      <c r="P453" t="n">
        <v>0</v>
      </c>
      <c r="Q453" t="n">
        <v>1</v>
      </c>
      <c r="R453" s="2" t="inlineStr">
        <is>
          <t>Spillkråka</t>
        </is>
      </c>
      <c r="S453">
        <f>HYPERLINK("https://klasma.github.io/Logging_2061/artfynd/A 41336-2022.xlsx", "A 41336-2022")</f>
        <v/>
      </c>
      <c r="T453">
        <f>HYPERLINK("https://klasma.github.io/Logging_2061/kartor/A 41336-2022.png", "A 41336-2022")</f>
        <v/>
      </c>
      <c r="V453">
        <f>HYPERLINK("https://klasma.github.io/Logging_2061/klagomål/A 41336-2022.docx", "A 41336-2022")</f>
        <v/>
      </c>
      <c r="W453">
        <f>HYPERLINK("https://klasma.github.io/Logging_2061/klagomålsmail/A 41336-2022.docx", "A 41336-2022")</f>
        <v/>
      </c>
      <c r="X453">
        <f>HYPERLINK("https://klasma.github.io/Logging_2061/tillsyn/A 41336-2022.docx", "A 41336-2022")</f>
        <v/>
      </c>
      <c r="Y453">
        <f>HYPERLINK("https://klasma.github.io/Logging_2061/tillsynsmail/A 41336-2022.docx", "A 41336-2022")</f>
        <v/>
      </c>
    </row>
    <row r="454" ht="15" customHeight="1">
      <c r="A454" t="inlineStr">
        <is>
          <t>A 42758-2022</t>
        </is>
      </c>
      <c r="B454" s="1" t="n">
        <v>44832</v>
      </c>
      <c r="C454" s="1" t="n">
        <v>45210</v>
      </c>
      <c r="D454" t="inlineStr">
        <is>
          <t>DALARNAS LÄN</t>
        </is>
      </c>
      <c r="E454" t="inlineStr">
        <is>
          <t>LUDVIKA</t>
        </is>
      </c>
      <c r="F454" t="inlineStr">
        <is>
          <t>Bergvik skog väst AB</t>
        </is>
      </c>
      <c r="G454" t="n">
        <v>1.6</v>
      </c>
      <c r="H454" t="n">
        <v>0</v>
      </c>
      <c r="I454" t="n">
        <v>0</v>
      </c>
      <c r="J454" t="n">
        <v>0</v>
      </c>
      <c r="K454" t="n">
        <v>1</v>
      </c>
      <c r="L454" t="n">
        <v>0</v>
      </c>
      <c r="M454" t="n">
        <v>0</v>
      </c>
      <c r="N454" t="n">
        <v>0</v>
      </c>
      <c r="O454" t="n">
        <v>1</v>
      </c>
      <c r="P454" t="n">
        <v>1</v>
      </c>
      <c r="Q454" t="n">
        <v>1</v>
      </c>
      <c r="R454" s="2" t="inlineStr">
        <is>
          <t>Aspgelélav</t>
        </is>
      </c>
      <c r="S454">
        <f>HYPERLINK("https://klasma.github.io/Logging_2085/artfynd/A 42758-2022.xlsx", "A 42758-2022")</f>
        <v/>
      </c>
      <c r="T454">
        <f>HYPERLINK("https://klasma.github.io/Logging_2085/kartor/A 42758-2022.png", "A 42758-2022")</f>
        <v/>
      </c>
      <c r="V454">
        <f>HYPERLINK("https://klasma.github.io/Logging_2085/klagomål/A 42758-2022.docx", "A 42758-2022")</f>
        <v/>
      </c>
      <c r="W454">
        <f>HYPERLINK("https://klasma.github.io/Logging_2085/klagomålsmail/A 42758-2022.docx", "A 42758-2022")</f>
        <v/>
      </c>
      <c r="X454">
        <f>HYPERLINK("https://klasma.github.io/Logging_2085/tillsyn/A 42758-2022.docx", "A 42758-2022")</f>
        <v/>
      </c>
      <c r="Y454">
        <f>HYPERLINK("https://klasma.github.io/Logging_2085/tillsynsmail/A 42758-2022.docx", "A 42758-2022")</f>
        <v/>
      </c>
    </row>
    <row r="455" ht="15" customHeight="1">
      <c r="A455" t="inlineStr">
        <is>
          <t>A 43037-2022</t>
        </is>
      </c>
      <c r="B455" s="1" t="n">
        <v>44833</v>
      </c>
      <c r="C455" s="1" t="n">
        <v>45210</v>
      </c>
      <c r="D455" t="inlineStr">
        <is>
          <t>DALARNAS LÄN</t>
        </is>
      </c>
      <c r="E455" t="inlineStr">
        <is>
          <t>ORSA</t>
        </is>
      </c>
      <c r="F455" t="inlineStr">
        <is>
          <t>Allmännings- och besparingsskogar</t>
        </is>
      </c>
      <c r="G455" t="n">
        <v>13.2</v>
      </c>
      <c r="H455" t="n">
        <v>1</v>
      </c>
      <c r="I455" t="n">
        <v>0</v>
      </c>
      <c r="J455" t="n">
        <v>1</v>
      </c>
      <c r="K455" t="n">
        <v>0</v>
      </c>
      <c r="L455" t="n">
        <v>0</v>
      </c>
      <c r="M455" t="n">
        <v>0</v>
      </c>
      <c r="N455" t="n">
        <v>0</v>
      </c>
      <c r="O455" t="n">
        <v>1</v>
      </c>
      <c r="P455" t="n">
        <v>0</v>
      </c>
      <c r="Q455" t="n">
        <v>1</v>
      </c>
      <c r="R455" s="2" t="inlineStr">
        <is>
          <t>Talltita</t>
        </is>
      </c>
      <c r="S455">
        <f>HYPERLINK("https://klasma.github.io/Logging_2034/artfynd/A 43037-2022.xlsx", "A 43037-2022")</f>
        <v/>
      </c>
      <c r="T455">
        <f>HYPERLINK("https://klasma.github.io/Logging_2034/kartor/A 43037-2022.png", "A 43037-2022")</f>
        <v/>
      </c>
      <c r="V455">
        <f>HYPERLINK("https://klasma.github.io/Logging_2034/klagomål/A 43037-2022.docx", "A 43037-2022")</f>
        <v/>
      </c>
      <c r="W455">
        <f>HYPERLINK("https://klasma.github.io/Logging_2034/klagomålsmail/A 43037-2022.docx", "A 43037-2022")</f>
        <v/>
      </c>
      <c r="X455">
        <f>HYPERLINK("https://klasma.github.io/Logging_2034/tillsyn/A 43037-2022.docx", "A 43037-2022")</f>
        <v/>
      </c>
      <c r="Y455">
        <f>HYPERLINK("https://klasma.github.io/Logging_2034/tillsynsmail/A 43037-2022.docx", "A 43037-2022")</f>
        <v/>
      </c>
    </row>
    <row r="456" ht="15" customHeight="1">
      <c r="A456" t="inlineStr">
        <is>
          <t>A 43651-2022</t>
        </is>
      </c>
      <c r="B456" s="1" t="n">
        <v>44837</v>
      </c>
      <c r="C456" s="1" t="n">
        <v>45210</v>
      </c>
      <c r="D456" t="inlineStr">
        <is>
          <t>DALARNAS LÄN</t>
        </is>
      </c>
      <c r="E456" t="inlineStr">
        <is>
          <t>ÄLVDALEN</t>
        </is>
      </c>
      <c r="F456" t="inlineStr">
        <is>
          <t>Bergvik skog väst AB</t>
        </is>
      </c>
      <c r="G456" t="n">
        <v>1.6</v>
      </c>
      <c r="H456" t="n">
        <v>1</v>
      </c>
      <c r="I456" t="n">
        <v>0</v>
      </c>
      <c r="J456" t="n">
        <v>0</v>
      </c>
      <c r="K456" t="n">
        <v>0</v>
      </c>
      <c r="L456" t="n">
        <v>0</v>
      </c>
      <c r="M456" t="n">
        <v>0</v>
      </c>
      <c r="N456" t="n">
        <v>0</v>
      </c>
      <c r="O456" t="n">
        <v>0</v>
      </c>
      <c r="P456" t="n">
        <v>0</v>
      </c>
      <c r="Q456" t="n">
        <v>1</v>
      </c>
      <c r="R456" s="2" t="inlineStr">
        <is>
          <t>Större vattensalamander</t>
        </is>
      </c>
      <c r="S456">
        <f>HYPERLINK("https://klasma.github.io/Logging_2039/artfynd/A 43651-2022.xlsx", "A 43651-2022")</f>
        <v/>
      </c>
      <c r="T456">
        <f>HYPERLINK("https://klasma.github.io/Logging_2039/kartor/A 43651-2022.png", "A 43651-2022")</f>
        <v/>
      </c>
      <c r="V456">
        <f>HYPERLINK("https://klasma.github.io/Logging_2039/klagomål/A 43651-2022.docx", "A 43651-2022")</f>
        <v/>
      </c>
      <c r="W456">
        <f>HYPERLINK("https://klasma.github.io/Logging_2039/klagomålsmail/A 43651-2022.docx", "A 43651-2022")</f>
        <v/>
      </c>
      <c r="X456">
        <f>HYPERLINK("https://klasma.github.io/Logging_2039/tillsyn/A 43651-2022.docx", "A 43651-2022")</f>
        <v/>
      </c>
      <c r="Y456">
        <f>HYPERLINK("https://klasma.github.io/Logging_2039/tillsynsmail/A 43651-2022.docx", "A 43651-2022")</f>
        <v/>
      </c>
    </row>
    <row r="457" ht="15" customHeight="1">
      <c r="A457" t="inlineStr">
        <is>
          <t>A 47962-2022</t>
        </is>
      </c>
      <c r="B457" s="1" t="n">
        <v>44855</v>
      </c>
      <c r="C457" s="1" t="n">
        <v>45210</v>
      </c>
      <c r="D457" t="inlineStr">
        <is>
          <t>DALARNAS LÄN</t>
        </is>
      </c>
      <c r="E457" t="inlineStr">
        <is>
          <t>RÄTTVIK</t>
        </is>
      </c>
      <c r="F457" t="inlineStr">
        <is>
          <t>Sveaskog</t>
        </is>
      </c>
      <c r="G457" t="n">
        <v>5.9</v>
      </c>
      <c r="H457" t="n">
        <v>0</v>
      </c>
      <c r="I457" t="n">
        <v>0</v>
      </c>
      <c r="J457" t="n">
        <v>1</v>
      </c>
      <c r="K457" t="n">
        <v>0</v>
      </c>
      <c r="L457" t="n">
        <v>0</v>
      </c>
      <c r="M457" t="n">
        <v>0</v>
      </c>
      <c r="N457" t="n">
        <v>0</v>
      </c>
      <c r="O457" t="n">
        <v>1</v>
      </c>
      <c r="P457" t="n">
        <v>0</v>
      </c>
      <c r="Q457" t="n">
        <v>1</v>
      </c>
      <c r="R457" s="2" t="inlineStr">
        <is>
          <t>Vedflamlav</t>
        </is>
      </c>
      <c r="S457">
        <f>HYPERLINK("https://klasma.github.io/Logging_2031/artfynd/A 47962-2022.xlsx", "A 47962-2022")</f>
        <v/>
      </c>
      <c r="T457">
        <f>HYPERLINK("https://klasma.github.io/Logging_2031/kartor/A 47962-2022.png", "A 47962-2022")</f>
        <v/>
      </c>
      <c r="V457">
        <f>HYPERLINK("https://klasma.github.io/Logging_2031/klagomål/A 47962-2022.docx", "A 47962-2022")</f>
        <v/>
      </c>
      <c r="W457">
        <f>HYPERLINK("https://klasma.github.io/Logging_2031/klagomålsmail/A 47962-2022.docx", "A 47962-2022")</f>
        <v/>
      </c>
      <c r="X457">
        <f>HYPERLINK("https://klasma.github.io/Logging_2031/tillsyn/A 47962-2022.docx", "A 47962-2022")</f>
        <v/>
      </c>
      <c r="Y457">
        <f>HYPERLINK("https://klasma.github.io/Logging_2031/tillsynsmail/A 47962-2022.docx", "A 47962-2022")</f>
        <v/>
      </c>
    </row>
    <row r="458" ht="15" customHeight="1">
      <c r="A458" t="inlineStr">
        <is>
          <t>A 48135-2022</t>
        </is>
      </c>
      <c r="B458" s="1" t="n">
        <v>44857</v>
      </c>
      <c r="C458" s="1" t="n">
        <v>45210</v>
      </c>
      <c r="D458" t="inlineStr">
        <is>
          <t>DALARNAS LÄN</t>
        </is>
      </c>
      <c r="E458" t="inlineStr">
        <is>
          <t>HEDEMORA</t>
        </is>
      </c>
      <c r="F458" t="inlineStr">
        <is>
          <t>Sveaskog</t>
        </is>
      </c>
      <c r="G458" t="n">
        <v>5.6</v>
      </c>
      <c r="H458" t="n">
        <v>0</v>
      </c>
      <c r="I458" t="n">
        <v>0</v>
      </c>
      <c r="J458" t="n">
        <v>1</v>
      </c>
      <c r="K458" t="n">
        <v>0</v>
      </c>
      <c r="L458" t="n">
        <v>0</v>
      </c>
      <c r="M458" t="n">
        <v>0</v>
      </c>
      <c r="N458" t="n">
        <v>0</v>
      </c>
      <c r="O458" t="n">
        <v>1</v>
      </c>
      <c r="P458" t="n">
        <v>0</v>
      </c>
      <c r="Q458" t="n">
        <v>1</v>
      </c>
      <c r="R458" s="2" t="inlineStr">
        <is>
          <t>Skrovellav</t>
        </is>
      </c>
      <c r="S458">
        <f>HYPERLINK("https://klasma.github.io/Logging_2083/artfynd/A 48135-2022.xlsx", "A 48135-2022")</f>
        <v/>
      </c>
      <c r="T458">
        <f>HYPERLINK("https://klasma.github.io/Logging_2083/kartor/A 48135-2022.png", "A 48135-2022")</f>
        <v/>
      </c>
      <c r="V458">
        <f>HYPERLINK("https://klasma.github.io/Logging_2083/klagomål/A 48135-2022.docx", "A 48135-2022")</f>
        <v/>
      </c>
      <c r="W458">
        <f>HYPERLINK("https://klasma.github.io/Logging_2083/klagomålsmail/A 48135-2022.docx", "A 48135-2022")</f>
        <v/>
      </c>
      <c r="X458">
        <f>HYPERLINK("https://klasma.github.io/Logging_2083/tillsyn/A 48135-2022.docx", "A 48135-2022")</f>
        <v/>
      </c>
      <c r="Y458">
        <f>HYPERLINK("https://klasma.github.io/Logging_2083/tillsynsmail/A 48135-2022.docx", "A 48135-2022")</f>
        <v/>
      </c>
    </row>
    <row r="459" ht="15" customHeight="1">
      <c r="A459" t="inlineStr">
        <is>
          <t>A 50251-2022</t>
        </is>
      </c>
      <c r="B459" s="1" t="n">
        <v>44865</v>
      </c>
      <c r="C459" s="1" t="n">
        <v>45210</v>
      </c>
      <c r="D459" t="inlineStr">
        <is>
          <t>DALARNAS LÄN</t>
        </is>
      </c>
      <c r="E459" t="inlineStr">
        <is>
          <t>ÄLVDALEN</t>
        </is>
      </c>
      <c r="F459" t="inlineStr">
        <is>
          <t>Sveaskog</t>
        </is>
      </c>
      <c r="G459" t="n">
        <v>4.4</v>
      </c>
      <c r="H459" t="n">
        <v>0</v>
      </c>
      <c r="I459" t="n">
        <v>1</v>
      </c>
      <c r="J459" t="n">
        <v>0</v>
      </c>
      <c r="K459" t="n">
        <v>0</v>
      </c>
      <c r="L459" t="n">
        <v>0</v>
      </c>
      <c r="M459" t="n">
        <v>0</v>
      </c>
      <c r="N459" t="n">
        <v>0</v>
      </c>
      <c r="O459" t="n">
        <v>0</v>
      </c>
      <c r="P459" t="n">
        <v>0</v>
      </c>
      <c r="Q459" t="n">
        <v>1</v>
      </c>
      <c r="R459" s="2" t="inlineStr">
        <is>
          <t>Dropptaggsvamp</t>
        </is>
      </c>
      <c r="S459">
        <f>HYPERLINK("https://klasma.github.io/Logging_2039/artfynd/A 50251-2022.xlsx", "A 50251-2022")</f>
        <v/>
      </c>
      <c r="T459">
        <f>HYPERLINK("https://klasma.github.io/Logging_2039/kartor/A 50251-2022.png", "A 50251-2022")</f>
        <v/>
      </c>
      <c r="V459">
        <f>HYPERLINK("https://klasma.github.io/Logging_2039/klagomål/A 50251-2022.docx", "A 50251-2022")</f>
        <v/>
      </c>
      <c r="W459">
        <f>HYPERLINK("https://klasma.github.io/Logging_2039/klagomålsmail/A 50251-2022.docx", "A 50251-2022")</f>
        <v/>
      </c>
      <c r="X459">
        <f>HYPERLINK("https://klasma.github.io/Logging_2039/tillsyn/A 50251-2022.docx", "A 50251-2022")</f>
        <v/>
      </c>
      <c r="Y459">
        <f>HYPERLINK("https://klasma.github.io/Logging_2039/tillsynsmail/A 50251-2022.docx", "A 50251-2022")</f>
        <v/>
      </c>
    </row>
    <row r="460" ht="15" customHeight="1">
      <c r="A460" t="inlineStr">
        <is>
          <t>A 50252-2022</t>
        </is>
      </c>
      <c r="B460" s="1" t="n">
        <v>44865</v>
      </c>
      <c r="C460" s="1" t="n">
        <v>45210</v>
      </c>
      <c r="D460" t="inlineStr">
        <is>
          <t>DALARNAS LÄN</t>
        </is>
      </c>
      <c r="E460" t="inlineStr">
        <is>
          <t>ÄLVDALEN</t>
        </is>
      </c>
      <c r="F460" t="inlineStr">
        <is>
          <t>Sveaskog</t>
        </is>
      </c>
      <c r="G460" t="n">
        <v>3</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50252-2022.xlsx", "A 50252-2022")</f>
        <v/>
      </c>
      <c r="T460">
        <f>HYPERLINK("https://klasma.github.io/Logging_2039/kartor/A 50252-2022.png", "A 50252-2022")</f>
        <v/>
      </c>
      <c r="V460">
        <f>HYPERLINK("https://klasma.github.io/Logging_2039/klagomål/A 50252-2022.docx", "A 50252-2022")</f>
        <v/>
      </c>
      <c r="W460">
        <f>HYPERLINK("https://klasma.github.io/Logging_2039/klagomålsmail/A 50252-2022.docx", "A 50252-2022")</f>
        <v/>
      </c>
      <c r="X460">
        <f>HYPERLINK("https://klasma.github.io/Logging_2039/tillsyn/A 50252-2022.docx", "A 50252-2022")</f>
        <v/>
      </c>
      <c r="Y460">
        <f>HYPERLINK("https://klasma.github.io/Logging_2039/tillsynsmail/A 50252-2022.docx", "A 50252-2022")</f>
        <v/>
      </c>
    </row>
    <row r="461" ht="15" customHeight="1">
      <c r="A461" t="inlineStr">
        <is>
          <t>A 50360-2022</t>
        </is>
      </c>
      <c r="B461" s="1" t="n">
        <v>44866</v>
      </c>
      <c r="C461" s="1" t="n">
        <v>45210</v>
      </c>
      <c r="D461" t="inlineStr">
        <is>
          <t>DALARNAS LÄN</t>
        </is>
      </c>
      <c r="E461" t="inlineStr">
        <is>
          <t>LEKSAND</t>
        </is>
      </c>
      <c r="F461" t="inlineStr">
        <is>
          <t>Bergvik skog väst AB</t>
        </is>
      </c>
      <c r="G461" t="n">
        <v>0.7</v>
      </c>
      <c r="H461" t="n">
        <v>1</v>
      </c>
      <c r="I461" t="n">
        <v>0</v>
      </c>
      <c r="J461" t="n">
        <v>0</v>
      </c>
      <c r="K461" t="n">
        <v>1</v>
      </c>
      <c r="L461" t="n">
        <v>0</v>
      </c>
      <c r="M461" t="n">
        <v>0</v>
      </c>
      <c r="N461" t="n">
        <v>0</v>
      </c>
      <c r="O461" t="n">
        <v>1</v>
      </c>
      <c r="P461" t="n">
        <v>1</v>
      </c>
      <c r="Q461" t="n">
        <v>1</v>
      </c>
      <c r="R461" s="2" t="inlineStr">
        <is>
          <t>Knärot</t>
        </is>
      </c>
      <c r="S461">
        <f>HYPERLINK("https://klasma.github.io/Logging_2029/artfynd/A 50360-2022.xlsx", "A 50360-2022")</f>
        <v/>
      </c>
      <c r="T461">
        <f>HYPERLINK("https://klasma.github.io/Logging_2029/kartor/A 50360-2022.png", "A 50360-2022")</f>
        <v/>
      </c>
      <c r="U461">
        <f>HYPERLINK("https://klasma.github.io/Logging_2029/knärot/A 50360-2022.png", "A 50360-2022")</f>
        <v/>
      </c>
      <c r="V461">
        <f>HYPERLINK("https://klasma.github.io/Logging_2029/klagomål/A 50360-2022.docx", "A 50360-2022")</f>
        <v/>
      </c>
      <c r="W461">
        <f>HYPERLINK("https://klasma.github.io/Logging_2029/klagomålsmail/A 50360-2022.docx", "A 50360-2022")</f>
        <v/>
      </c>
      <c r="X461">
        <f>HYPERLINK("https://klasma.github.io/Logging_2029/tillsyn/A 50360-2022.docx", "A 50360-2022")</f>
        <v/>
      </c>
      <c r="Y461">
        <f>HYPERLINK("https://klasma.github.io/Logging_2029/tillsynsmail/A 50360-2022.docx", "A 50360-2022")</f>
        <v/>
      </c>
    </row>
    <row r="462" ht="15" customHeight="1">
      <c r="A462" t="inlineStr">
        <is>
          <t>A 51477-2022</t>
        </is>
      </c>
      <c r="B462" s="1" t="n">
        <v>44869</v>
      </c>
      <c r="C462" s="1" t="n">
        <v>45210</v>
      </c>
      <c r="D462" t="inlineStr">
        <is>
          <t>DALARNAS LÄN</t>
        </is>
      </c>
      <c r="E462" t="inlineStr">
        <is>
          <t>ÄLVDALEN</t>
        </is>
      </c>
      <c r="F462" t="inlineStr">
        <is>
          <t>Sveaskog</t>
        </is>
      </c>
      <c r="G462" t="n">
        <v>3.8</v>
      </c>
      <c r="H462" t="n">
        <v>0</v>
      </c>
      <c r="I462" t="n">
        <v>1</v>
      </c>
      <c r="J462" t="n">
        <v>0</v>
      </c>
      <c r="K462" t="n">
        <v>0</v>
      </c>
      <c r="L462" t="n">
        <v>0</v>
      </c>
      <c r="M462" t="n">
        <v>0</v>
      </c>
      <c r="N462" t="n">
        <v>0</v>
      </c>
      <c r="O462" t="n">
        <v>0</v>
      </c>
      <c r="P462" t="n">
        <v>0</v>
      </c>
      <c r="Q462" t="n">
        <v>1</v>
      </c>
      <c r="R462" s="2" t="inlineStr">
        <is>
          <t>Dropptaggsvamp</t>
        </is>
      </c>
      <c r="S462">
        <f>HYPERLINK("https://klasma.github.io/Logging_2039/artfynd/A 51477-2022.xlsx", "A 51477-2022")</f>
        <v/>
      </c>
      <c r="T462">
        <f>HYPERLINK("https://klasma.github.io/Logging_2039/kartor/A 51477-2022.png", "A 51477-2022")</f>
        <v/>
      </c>
      <c r="V462">
        <f>HYPERLINK("https://klasma.github.io/Logging_2039/klagomål/A 51477-2022.docx", "A 51477-2022")</f>
        <v/>
      </c>
      <c r="W462">
        <f>HYPERLINK("https://klasma.github.io/Logging_2039/klagomålsmail/A 51477-2022.docx", "A 51477-2022")</f>
        <v/>
      </c>
      <c r="X462">
        <f>HYPERLINK("https://klasma.github.io/Logging_2039/tillsyn/A 51477-2022.docx", "A 51477-2022")</f>
        <v/>
      </c>
      <c r="Y462">
        <f>HYPERLINK("https://klasma.github.io/Logging_2039/tillsynsmail/A 51477-2022.docx", "A 51477-2022")</f>
        <v/>
      </c>
    </row>
    <row r="463" ht="15" customHeight="1">
      <c r="A463" t="inlineStr">
        <is>
          <t>A 52452-2022</t>
        </is>
      </c>
      <c r="B463" s="1" t="n">
        <v>44874</v>
      </c>
      <c r="C463" s="1" t="n">
        <v>45210</v>
      </c>
      <c r="D463" t="inlineStr">
        <is>
          <t>DALARNAS LÄN</t>
        </is>
      </c>
      <c r="E463" t="inlineStr">
        <is>
          <t>LUDVIKA</t>
        </is>
      </c>
      <c r="F463" t="inlineStr">
        <is>
          <t>Bergvik skog väst AB</t>
        </is>
      </c>
      <c r="G463" t="n">
        <v>1.9</v>
      </c>
      <c r="H463" t="n">
        <v>0</v>
      </c>
      <c r="I463" t="n">
        <v>0</v>
      </c>
      <c r="J463" t="n">
        <v>1</v>
      </c>
      <c r="K463" t="n">
        <v>0</v>
      </c>
      <c r="L463" t="n">
        <v>0</v>
      </c>
      <c r="M463" t="n">
        <v>0</v>
      </c>
      <c r="N463" t="n">
        <v>0</v>
      </c>
      <c r="O463" t="n">
        <v>1</v>
      </c>
      <c r="P463" t="n">
        <v>0</v>
      </c>
      <c r="Q463" t="n">
        <v>1</v>
      </c>
      <c r="R463" s="2" t="inlineStr">
        <is>
          <t>Garnlav</t>
        </is>
      </c>
      <c r="S463">
        <f>HYPERLINK("https://klasma.github.io/Logging_2085/artfynd/A 52452-2022.xlsx", "A 52452-2022")</f>
        <v/>
      </c>
      <c r="T463">
        <f>HYPERLINK("https://klasma.github.io/Logging_2085/kartor/A 52452-2022.png", "A 52452-2022")</f>
        <v/>
      </c>
      <c r="V463">
        <f>HYPERLINK("https://klasma.github.io/Logging_2085/klagomål/A 52452-2022.docx", "A 52452-2022")</f>
        <v/>
      </c>
      <c r="W463">
        <f>HYPERLINK("https://klasma.github.io/Logging_2085/klagomålsmail/A 52452-2022.docx", "A 52452-2022")</f>
        <v/>
      </c>
      <c r="X463">
        <f>HYPERLINK("https://klasma.github.io/Logging_2085/tillsyn/A 52452-2022.docx", "A 52452-2022")</f>
        <v/>
      </c>
      <c r="Y463">
        <f>HYPERLINK("https://klasma.github.io/Logging_2085/tillsynsmail/A 52452-2022.docx", "A 52452-2022")</f>
        <v/>
      </c>
    </row>
    <row r="464" ht="15" customHeight="1">
      <c r="A464" t="inlineStr">
        <is>
          <t>A 55062-2022</t>
        </is>
      </c>
      <c r="B464" s="1" t="n">
        <v>44881</v>
      </c>
      <c r="C464" s="1" t="n">
        <v>45210</v>
      </c>
      <c r="D464" t="inlineStr">
        <is>
          <t>DALARNAS LÄN</t>
        </is>
      </c>
      <c r="E464" t="inlineStr">
        <is>
          <t>ÄLVDALEN</t>
        </is>
      </c>
      <c r="F464" t="inlineStr">
        <is>
          <t>Övriga statliga verk och myndigheter</t>
        </is>
      </c>
      <c r="G464" t="n">
        <v>28.1</v>
      </c>
      <c r="H464" t="n">
        <v>1</v>
      </c>
      <c r="I464" t="n">
        <v>0</v>
      </c>
      <c r="J464" t="n">
        <v>1</v>
      </c>
      <c r="K464" t="n">
        <v>0</v>
      </c>
      <c r="L464" t="n">
        <v>0</v>
      </c>
      <c r="M464" t="n">
        <v>0</v>
      </c>
      <c r="N464" t="n">
        <v>0</v>
      </c>
      <c r="O464" t="n">
        <v>1</v>
      </c>
      <c r="P464" t="n">
        <v>0</v>
      </c>
      <c r="Q464" t="n">
        <v>1</v>
      </c>
      <c r="R464" s="2" t="inlineStr">
        <is>
          <t>Utter</t>
        </is>
      </c>
      <c r="S464">
        <f>HYPERLINK("https://klasma.github.io/Logging_2039/artfynd/A 55062-2022.xlsx", "A 55062-2022")</f>
        <v/>
      </c>
      <c r="T464">
        <f>HYPERLINK("https://klasma.github.io/Logging_2039/kartor/A 55062-2022.png", "A 55062-2022")</f>
        <v/>
      </c>
      <c r="V464">
        <f>HYPERLINK("https://klasma.github.io/Logging_2039/klagomål/A 55062-2022.docx", "A 55062-2022")</f>
        <v/>
      </c>
      <c r="W464">
        <f>HYPERLINK("https://klasma.github.io/Logging_2039/klagomålsmail/A 55062-2022.docx", "A 55062-2022")</f>
        <v/>
      </c>
      <c r="X464">
        <f>HYPERLINK("https://klasma.github.io/Logging_2039/tillsyn/A 55062-2022.docx", "A 55062-2022")</f>
        <v/>
      </c>
      <c r="Y464">
        <f>HYPERLINK("https://klasma.github.io/Logging_2039/tillsynsmail/A 55062-2022.docx", "A 55062-2022")</f>
        <v/>
      </c>
    </row>
    <row r="465" ht="15" customHeight="1">
      <c r="A465" t="inlineStr">
        <is>
          <t>A 55144-2022</t>
        </is>
      </c>
      <c r="B465" s="1" t="n">
        <v>44886</v>
      </c>
      <c r="C465" s="1" t="n">
        <v>45210</v>
      </c>
      <c r="D465" t="inlineStr">
        <is>
          <t>DALARNAS LÄN</t>
        </is>
      </c>
      <c r="E465" t="inlineStr">
        <is>
          <t>HEDEMORA</t>
        </is>
      </c>
      <c r="F465" t="inlineStr">
        <is>
          <t>Sveaskog</t>
        </is>
      </c>
      <c r="G465" t="n">
        <v>2.6</v>
      </c>
      <c r="H465" t="n">
        <v>1</v>
      </c>
      <c r="I465" t="n">
        <v>0</v>
      </c>
      <c r="J465" t="n">
        <v>0</v>
      </c>
      <c r="K465" t="n">
        <v>0</v>
      </c>
      <c r="L465" t="n">
        <v>0</v>
      </c>
      <c r="M465" t="n">
        <v>0</v>
      </c>
      <c r="N465" t="n">
        <v>0</v>
      </c>
      <c r="O465" t="n">
        <v>0</v>
      </c>
      <c r="P465" t="n">
        <v>0</v>
      </c>
      <c r="Q465" t="n">
        <v>1</v>
      </c>
      <c r="R465" s="2" t="inlineStr">
        <is>
          <t>Fläcknycklar</t>
        </is>
      </c>
      <c r="S465">
        <f>HYPERLINK("https://klasma.github.io/Logging_2083/artfynd/A 55144-2022.xlsx", "A 55144-2022")</f>
        <v/>
      </c>
      <c r="T465">
        <f>HYPERLINK("https://klasma.github.io/Logging_2083/kartor/A 55144-2022.png", "A 55144-2022")</f>
        <v/>
      </c>
      <c r="V465">
        <f>HYPERLINK("https://klasma.github.io/Logging_2083/klagomål/A 55144-2022.docx", "A 55144-2022")</f>
        <v/>
      </c>
      <c r="W465">
        <f>HYPERLINK("https://klasma.github.io/Logging_2083/klagomålsmail/A 55144-2022.docx", "A 55144-2022")</f>
        <v/>
      </c>
      <c r="X465">
        <f>HYPERLINK("https://klasma.github.io/Logging_2083/tillsyn/A 55144-2022.docx", "A 55144-2022")</f>
        <v/>
      </c>
      <c r="Y465">
        <f>HYPERLINK("https://klasma.github.io/Logging_2083/tillsynsmail/A 55144-2022.docx", "A 55144-2022")</f>
        <v/>
      </c>
    </row>
    <row r="466" ht="15" customHeight="1">
      <c r="A466" t="inlineStr">
        <is>
          <t>A 55550-2022</t>
        </is>
      </c>
      <c r="B466" s="1" t="n">
        <v>44888</v>
      </c>
      <c r="C466" s="1" t="n">
        <v>45210</v>
      </c>
      <c r="D466" t="inlineStr">
        <is>
          <t>DALARNAS LÄN</t>
        </is>
      </c>
      <c r="E466" t="inlineStr">
        <is>
          <t>LUDVIKA</t>
        </is>
      </c>
      <c r="F466" t="inlineStr">
        <is>
          <t>Bergvik skog väst AB</t>
        </is>
      </c>
      <c r="G466" t="n">
        <v>1.1</v>
      </c>
      <c r="H466" t="n">
        <v>0</v>
      </c>
      <c r="I466" t="n">
        <v>1</v>
      </c>
      <c r="J466" t="n">
        <v>0</v>
      </c>
      <c r="K466" t="n">
        <v>0</v>
      </c>
      <c r="L466" t="n">
        <v>0</v>
      </c>
      <c r="M466" t="n">
        <v>0</v>
      </c>
      <c r="N466" t="n">
        <v>0</v>
      </c>
      <c r="O466" t="n">
        <v>0</v>
      </c>
      <c r="P466" t="n">
        <v>0</v>
      </c>
      <c r="Q466" t="n">
        <v>1</v>
      </c>
      <c r="R466" s="2" t="inlineStr">
        <is>
          <t>Ögonpyrola</t>
        </is>
      </c>
      <c r="S466">
        <f>HYPERLINK("https://klasma.github.io/Logging_2085/artfynd/A 55550-2022.xlsx", "A 55550-2022")</f>
        <v/>
      </c>
      <c r="T466">
        <f>HYPERLINK("https://klasma.github.io/Logging_2085/kartor/A 55550-2022.png", "A 55550-2022")</f>
        <v/>
      </c>
      <c r="V466">
        <f>HYPERLINK("https://klasma.github.io/Logging_2085/klagomål/A 55550-2022.docx", "A 55550-2022")</f>
        <v/>
      </c>
      <c r="W466">
        <f>HYPERLINK("https://klasma.github.io/Logging_2085/klagomålsmail/A 55550-2022.docx", "A 55550-2022")</f>
        <v/>
      </c>
      <c r="X466">
        <f>HYPERLINK("https://klasma.github.io/Logging_2085/tillsyn/A 55550-2022.docx", "A 55550-2022")</f>
        <v/>
      </c>
      <c r="Y466">
        <f>HYPERLINK("https://klasma.github.io/Logging_2085/tillsynsmail/A 55550-2022.docx", "A 55550-2022")</f>
        <v/>
      </c>
    </row>
    <row r="467" ht="15" customHeight="1">
      <c r="A467" t="inlineStr">
        <is>
          <t>A 56078-2022</t>
        </is>
      </c>
      <c r="B467" s="1" t="n">
        <v>44889</v>
      </c>
      <c r="C467" s="1" t="n">
        <v>45210</v>
      </c>
      <c r="D467" t="inlineStr">
        <is>
          <t>DALARNAS LÄN</t>
        </is>
      </c>
      <c r="E467" t="inlineStr">
        <is>
          <t>ÄLVDALEN</t>
        </is>
      </c>
      <c r="F467" t="inlineStr">
        <is>
          <t>Bergvik skog öst AB</t>
        </is>
      </c>
      <c r="G467" t="n">
        <v>2.4</v>
      </c>
      <c r="H467" t="n">
        <v>0</v>
      </c>
      <c r="I467" t="n">
        <v>1</v>
      </c>
      <c r="J467" t="n">
        <v>0</v>
      </c>
      <c r="K467" t="n">
        <v>0</v>
      </c>
      <c r="L467" t="n">
        <v>0</v>
      </c>
      <c r="M467" t="n">
        <v>0</v>
      </c>
      <c r="N467" t="n">
        <v>0</v>
      </c>
      <c r="O467" t="n">
        <v>0</v>
      </c>
      <c r="P467" t="n">
        <v>0</v>
      </c>
      <c r="Q467" t="n">
        <v>1</v>
      </c>
      <c r="R467" s="2" t="inlineStr">
        <is>
          <t>Dropptaggsvamp</t>
        </is>
      </c>
      <c r="S467">
        <f>HYPERLINK("https://klasma.github.io/Logging_2039/artfynd/A 56078-2022.xlsx", "A 56078-2022")</f>
        <v/>
      </c>
      <c r="T467">
        <f>HYPERLINK("https://klasma.github.io/Logging_2039/kartor/A 56078-2022.png", "A 56078-2022")</f>
        <v/>
      </c>
      <c r="V467">
        <f>HYPERLINK("https://klasma.github.io/Logging_2039/klagomål/A 56078-2022.docx", "A 56078-2022")</f>
        <v/>
      </c>
      <c r="W467">
        <f>HYPERLINK("https://klasma.github.io/Logging_2039/klagomålsmail/A 56078-2022.docx", "A 56078-2022")</f>
        <v/>
      </c>
      <c r="X467">
        <f>HYPERLINK("https://klasma.github.io/Logging_2039/tillsyn/A 56078-2022.docx", "A 56078-2022")</f>
        <v/>
      </c>
      <c r="Y467">
        <f>HYPERLINK("https://klasma.github.io/Logging_2039/tillsynsmail/A 56078-2022.docx", "A 56078-2022")</f>
        <v/>
      </c>
    </row>
    <row r="468" ht="15" customHeight="1">
      <c r="A468" t="inlineStr">
        <is>
          <t>A 56806-2022</t>
        </is>
      </c>
      <c r="B468" s="1" t="n">
        <v>44894</v>
      </c>
      <c r="C468" s="1" t="n">
        <v>45210</v>
      </c>
      <c r="D468" t="inlineStr">
        <is>
          <t>DALARNAS LÄN</t>
        </is>
      </c>
      <c r="E468" t="inlineStr">
        <is>
          <t>RÄTTVIK</t>
        </is>
      </c>
      <c r="F468" t="inlineStr">
        <is>
          <t>Sveaskog</t>
        </is>
      </c>
      <c r="G468" t="n">
        <v>13</v>
      </c>
      <c r="H468" t="n">
        <v>0</v>
      </c>
      <c r="I468" t="n">
        <v>0</v>
      </c>
      <c r="J468" t="n">
        <v>1</v>
      </c>
      <c r="K468" t="n">
        <v>0</v>
      </c>
      <c r="L468" t="n">
        <v>0</v>
      </c>
      <c r="M468" t="n">
        <v>0</v>
      </c>
      <c r="N468" t="n">
        <v>0</v>
      </c>
      <c r="O468" t="n">
        <v>1</v>
      </c>
      <c r="P468" t="n">
        <v>0</v>
      </c>
      <c r="Q468" t="n">
        <v>1</v>
      </c>
      <c r="R468" s="2" t="inlineStr">
        <is>
          <t>Vedflamlav</t>
        </is>
      </c>
      <c r="S468">
        <f>HYPERLINK("https://klasma.github.io/Logging_2031/artfynd/A 56806-2022.xlsx", "A 56806-2022")</f>
        <v/>
      </c>
      <c r="T468">
        <f>HYPERLINK("https://klasma.github.io/Logging_2031/kartor/A 56806-2022.png", "A 56806-2022")</f>
        <v/>
      </c>
      <c r="V468">
        <f>HYPERLINK("https://klasma.github.io/Logging_2031/klagomål/A 56806-2022.docx", "A 56806-2022")</f>
        <v/>
      </c>
      <c r="W468">
        <f>HYPERLINK("https://klasma.github.io/Logging_2031/klagomålsmail/A 56806-2022.docx", "A 56806-2022")</f>
        <v/>
      </c>
      <c r="X468">
        <f>HYPERLINK("https://klasma.github.io/Logging_2031/tillsyn/A 56806-2022.docx", "A 56806-2022")</f>
        <v/>
      </c>
      <c r="Y468">
        <f>HYPERLINK("https://klasma.github.io/Logging_2031/tillsynsmail/A 56806-2022.docx", "A 56806-2022")</f>
        <v/>
      </c>
    </row>
    <row r="469" ht="15" customHeight="1">
      <c r="A469" t="inlineStr">
        <is>
          <t>A 57693-2022</t>
        </is>
      </c>
      <c r="B469" s="1" t="n">
        <v>44897</v>
      </c>
      <c r="C469" s="1" t="n">
        <v>45210</v>
      </c>
      <c r="D469" t="inlineStr">
        <is>
          <t>DALARNAS LÄN</t>
        </is>
      </c>
      <c r="E469" t="inlineStr">
        <is>
          <t>BORLÄNGE</t>
        </is>
      </c>
      <c r="G469" t="n">
        <v>8.6</v>
      </c>
      <c r="H469" t="n">
        <v>0</v>
      </c>
      <c r="I469" t="n">
        <v>1</v>
      </c>
      <c r="J469" t="n">
        <v>0</v>
      </c>
      <c r="K469" t="n">
        <v>0</v>
      </c>
      <c r="L469" t="n">
        <v>0</v>
      </c>
      <c r="M469" t="n">
        <v>0</v>
      </c>
      <c r="N469" t="n">
        <v>0</v>
      </c>
      <c r="O469" t="n">
        <v>0</v>
      </c>
      <c r="P469" t="n">
        <v>0</v>
      </c>
      <c r="Q469" t="n">
        <v>1</v>
      </c>
      <c r="R469" s="2" t="inlineStr">
        <is>
          <t>Nästlav</t>
        </is>
      </c>
      <c r="S469">
        <f>HYPERLINK("https://klasma.github.io/Logging_2081/artfynd/A 57693-2022.xlsx", "A 57693-2022")</f>
        <v/>
      </c>
      <c r="T469">
        <f>HYPERLINK("https://klasma.github.io/Logging_2081/kartor/A 57693-2022.png", "A 57693-2022")</f>
        <v/>
      </c>
      <c r="V469">
        <f>HYPERLINK("https://klasma.github.io/Logging_2081/klagomål/A 57693-2022.docx", "A 57693-2022")</f>
        <v/>
      </c>
      <c r="W469">
        <f>HYPERLINK("https://klasma.github.io/Logging_2081/klagomålsmail/A 57693-2022.docx", "A 57693-2022")</f>
        <v/>
      </c>
      <c r="X469">
        <f>HYPERLINK("https://klasma.github.io/Logging_2081/tillsyn/A 57693-2022.docx", "A 57693-2022")</f>
        <v/>
      </c>
      <c r="Y469">
        <f>HYPERLINK("https://klasma.github.io/Logging_2081/tillsynsmail/A 57693-2022.docx", "A 57693-2022")</f>
        <v/>
      </c>
    </row>
    <row r="470" ht="15" customHeight="1">
      <c r="A470" t="inlineStr">
        <is>
          <t>A 58837-2022</t>
        </is>
      </c>
      <c r="B470" s="1" t="n">
        <v>44903</v>
      </c>
      <c r="C470" s="1" t="n">
        <v>45210</v>
      </c>
      <c r="D470" t="inlineStr">
        <is>
          <t>DALARNAS LÄN</t>
        </is>
      </c>
      <c r="E470" t="inlineStr">
        <is>
          <t>MALUNG-SÄLEN</t>
        </is>
      </c>
      <c r="G470" t="n">
        <v>5</v>
      </c>
      <c r="H470" t="n">
        <v>0</v>
      </c>
      <c r="I470" t="n">
        <v>0</v>
      </c>
      <c r="J470" t="n">
        <v>1</v>
      </c>
      <c r="K470" t="n">
        <v>0</v>
      </c>
      <c r="L470" t="n">
        <v>0</v>
      </c>
      <c r="M470" t="n">
        <v>0</v>
      </c>
      <c r="N470" t="n">
        <v>0</v>
      </c>
      <c r="O470" t="n">
        <v>1</v>
      </c>
      <c r="P470" t="n">
        <v>0</v>
      </c>
      <c r="Q470" t="n">
        <v>1</v>
      </c>
      <c r="R470" s="2" t="inlineStr">
        <is>
          <t>Vaddporing</t>
        </is>
      </c>
      <c r="S470">
        <f>HYPERLINK("https://klasma.github.io/Logging_2023/artfynd/A 58837-2022.xlsx", "A 58837-2022")</f>
        <v/>
      </c>
      <c r="T470">
        <f>HYPERLINK("https://klasma.github.io/Logging_2023/kartor/A 58837-2022.png", "A 58837-2022")</f>
        <v/>
      </c>
      <c r="V470">
        <f>HYPERLINK("https://klasma.github.io/Logging_2023/klagomål/A 58837-2022.docx", "A 58837-2022")</f>
        <v/>
      </c>
      <c r="W470">
        <f>HYPERLINK("https://klasma.github.io/Logging_2023/klagomålsmail/A 58837-2022.docx", "A 58837-2022")</f>
        <v/>
      </c>
      <c r="X470">
        <f>HYPERLINK("https://klasma.github.io/Logging_2023/tillsyn/A 58837-2022.docx", "A 58837-2022")</f>
        <v/>
      </c>
      <c r="Y470">
        <f>HYPERLINK("https://klasma.github.io/Logging_2023/tillsynsmail/A 58837-2022.docx", "A 58837-2022")</f>
        <v/>
      </c>
    </row>
    <row r="471" ht="15" customHeight="1">
      <c r="A471" t="inlineStr">
        <is>
          <t>A 60085-2022</t>
        </is>
      </c>
      <c r="B471" s="1" t="n">
        <v>44909</v>
      </c>
      <c r="C471" s="1" t="n">
        <v>45210</v>
      </c>
      <c r="D471" t="inlineStr">
        <is>
          <t>DALARNAS LÄN</t>
        </is>
      </c>
      <c r="E471" t="inlineStr">
        <is>
          <t>SÄTER</t>
        </is>
      </c>
      <c r="G471" t="n">
        <v>7.3</v>
      </c>
      <c r="H471" t="n">
        <v>1</v>
      </c>
      <c r="I471" t="n">
        <v>0</v>
      </c>
      <c r="J471" t="n">
        <v>1</v>
      </c>
      <c r="K471" t="n">
        <v>0</v>
      </c>
      <c r="L471" t="n">
        <v>0</v>
      </c>
      <c r="M471" t="n">
        <v>0</v>
      </c>
      <c r="N471" t="n">
        <v>0</v>
      </c>
      <c r="O471" t="n">
        <v>1</v>
      </c>
      <c r="P471" t="n">
        <v>0</v>
      </c>
      <c r="Q471" t="n">
        <v>1</v>
      </c>
      <c r="R471" s="2" t="inlineStr">
        <is>
          <t>Kungsörn</t>
        </is>
      </c>
      <c r="S471">
        <f>HYPERLINK("https://klasma.github.io/Logging_2082/artfynd/A 60085-2022.xlsx", "A 60085-2022")</f>
        <v/>
      </c>
      <c r="T471">
        <f>HYPERLINK("https://klasma.github.io/Logging_2082/kartor/A 60085-2022.png", "A 60085-2022")</f>
        <v/>
      </c>
      <c r="V471">
        <f>HYPERLINK("https://klasma.github.io/Logging_2082/klagomål/A 60085-2022.docx", "A 60085-2022")</f>
        <v/>
      </c>
      <c r="W471">
        <f>HYPERLINK("https://klasma.github.io/Logging_2082/klagomålsmail/A 60085-2022.docx", "A 60085-2022")</f>
        <v/>
      </c>
      <c r="X471">
        <f>HYPERLINK("https://klasma.github.io/Logging_2082/tillsyn/A 60085-2022.docx", "A 60085-2022")</f>
        <v/>
      </c>
      <c r="Y471">
        <f>HYPERLINK("https://klasma.github.io/Logging_2082/tillsynsmail/A 60085-2022.docx", "A 60085-2022")</f>
        <v/>
      </c>
    </row>
    <row r="472" ht="15" customHeight="1">
      <c r="A472" t="inlineStr">
        <is>
          <t>A 60954-2022</t>
        </is>
      </c>
      <c r="B472" s="1" t="n">
        <v>44914</v>
      </c>
      <c r="C472" s="1" t="n">
        <v>45210</v>
      </c>
      <c r="D472" t="inlineStr">
        <is>
          <t>DALARNAS LÄN</t>
        </is>
      </c>
      <c r="E472" t="inlineStr">
        <is>
          <t>SÄTER</t>
        </is>
      </c>
      <c r="F472" t="inlineStr">
        <is>
          <t>Kommuner</t>
        </is>
      </c>
      <c r="G472" t="n">
        <v>6.9</v>
      </c>
      <c r="H472" t="n">
        <v>0</v>
      </c>
      <c r="I472" t="n">
        <v>1</v>
      </c>
      <c r="J472" t="n">
        <v>0</v>
      </c>
      <c r="K472" t="n">
        <v>0</v>
      </c>
      <c r="L472" t="n">
        <v>0</v>
      </c>
      <c r="M472" t="n">
        <v>0</v>
      </c>
      <c r="N472" t="n">
        <v>0</v>
      </c>
      <c r="O472" t="n">
        <v>0</v>
      </c>
      <c r="P472" t="n">
        <v>0</v>
      </c>
      <c r="Q472" t="n">
        <v>1</v>
      </c>
      <c r="R472" s="2" t="inlineStr">
        <is>
          <t>Ögonpyrola</t>
        </is>
      </c>
      <c r="S472">
        <f>HYPERLINK("https://klasma.github.io/Logging_2082/artfynd/A 60954-2022.xlsx", "A 60954-2022")</f>
        <v/>
      </c>
      <c r="T472">
        <f>HYPERLINK("https://klasma.github.io/Logging_2082/kartor/A 60954-2022.png", "A 60954-2022")</f>
        <v/>
      </c>
      <c r="V472">
        <f>HYPERLINK("https://klasma.github.io/Logging_2082/klagomål/A 60954-2022.docx", "A 60954-2022")</f>
        <v/>
      </c>
      <c r="W472">
        <f>HYPERLINK("https://klasma.github.io/Logging_2082/klagomålsmail/A 60954-2022.docx", "A 60954-2022")</f>
        <v/>
      </c>
      <c r="X472">
        <f>HYPERLINK("https://klasma.github.io/Logging_2082/tillsyn/A 60954-2022.docx", "A 60954-2022")</f>
        <v/>
      </c>
      <c r="Y472">
        <f>HYPERLINK("https://klasma.github.io/Logging_2082/tillsynsmail/A 60954-2022.docx", "A 60954-2022")</f>
        <v/>
      </c>
    </row>
    <row r="473" ht="15" customHeight="1">
      <c r="A473" t="inlineStr">
        <is>
          <t>A 62665-2022</t>
        </is>
      </c>
      <c r="B473" s="1" t="n">
        <v>44917</v>
      </c>
      <c r="C473" s="1" t="n">
        <v>45210</v>
      </c>
      <c r="D473" t="inlineStr">
        <is>
          <t>DALARNAS LÄN</t>
        </is>
      </c>
      <c r="E473" t="inlineStr">
        <is>
          <t>ÄLVDALEN</t>
        </is>
      </c>
      <c r="G473" t="n">
        <v>1.3</v>
      </c>
      <c r="H473" t="n">
        <v>0</v>
      </c>
      <c r="I473" t="n">
        <v>0</v>
      </c>
      <c r="J473" t="n">
        <v>1</v>
      </c>
      <c r="K473" t="n">
        <v>0</v>
      </c>
      <c r="L473" t="n">
        <v>0</v>
      </c>
      <c r="M473" t="n">
        <v>0</v>
      </c>
      <c r="N473" t="n">
        <v>0</v>
      </c>
      <c r="O473" t="n">
        <v>1</v>
      </c>
      <c r="P473" t="n">
        <v>0</v>
      </c>
      <c r="Q473" t="n">
        <v>1</v>
      </c>
      <c r="R473" s="2" t="inlineStr">
        <is>
          <t>Gränsticka</t>
        </is>
      </c>
      <c r="S473">
        <f>HYPERLINK("https://klasma.github.io/Logging_2039/artfynd/A 62665-2022.xlsx", "A 62665-2022")</f>
        <v/>
      </c>
      <c r="T473">
        <f>HYPERLINK("https://klasma.github.io/Logging_2039/kartor/A 62665-2022.png", "A 62665-2022")</f>
        <v/>
      </c>
      <c r="V473">
        <f>HYPERLINK("https://klasma.github.io/Logging_2039/klagomål/A 62665-2022.docx", "A 62665-2022")</f>
        <v/>
      </c>
      <c r="W473">
        <f>HYPERLINK("https://klasma.github.io/Logging_2039/klagomålsmail/A 62665-2022.docx", "A 62665-2022")</f>
        <v/>
      </c>
      <c r="X473">
        <f>HYPERLINK("https://klasma.github.io/Logging_2039/tillsyn/A 62665-2022.docx", "A 62665-2022")</f>
        <v/>
      </c>
      <c r="Y473">
        <f>HYPERLINK("https://klasma.github.io/Logging_2039/tillsynsmail/A 62665-2022.docx", "A 62665-2022")</f>
        <v/>
      </c>
    </row>
    <row r="474" ht="15" customHeight="1">
      <c r="A474" t="inlineStr">
        <is>
          <t>A 61983-2022</t>
        </is>
      </c>
      <c r="B474" s="1" t="n">
        <v>44918</v>
      </c>
      <c r="C474" s="1" t="n">
        <v>45210</v>
      </c>
      <c r="D474" t="inlineStr">
        <is>
          <t>DALARNAS LÄN</t>
        </is>
      </c>
      <c r="E474" t="inlineStr">
        <is>
          <t>RÄTTVIK</t>
        </is>
      </c>
      <c r="F474" t="inlineStr">
        <is>
          <t>Sveaskog</t>
        </is>
      </c>
      <c r="G474" t="n">
        <v>1.1</v>
      </c>
      <c r="H474" t="n">
        <v>0</v>
      </c>
      <c r="I474" t="n">
        <v>1</v>
      </c>
      <c r="J474" t="n">
        <v>0</v>
      </c>
      <c r="K474" t="n">
        <v>0</v>
      </c>
      <c r="L474" t="n">
        <v>0</v>
      </c>
      <c r="M474" t="n">
        <v>0</v>
      </c>
      <c r="N474" t="n">
        <v>0</v>
      </c>
      <c r="O474" t="n">
        <v>0</v>
      </c>
      <c r="P474" t="n">
        <v>0</v>
      </c>
      <c r="Q474" t="n">
        <v>1</v>
      </c>
      <c r="R474" s="2" t="inlineStr">
        <is>
          <t>Bronshjon</t>
        </is>
      </c>
      <c r="S474">
        <f>HYPERLINK("https://klasma.github.io/Logging_2031/artfynd/A 61983-2022.xlsx", "A 61983-2022")</f>
        <v/>
      </c>
      <c r="T474">
        <f>HYPERLINK("https://klasma.github.io/Logging_2031/kartor/A 61983-2022.png", "A 61983-2022")</f>
        <v/>
      </c>
      <c r="V474">
        <f>HYPERLINK("https://klasma.github.io/Logging_2031/klagomål/A 61983-2022.docx", "A 61983-2022")</f>
        <v/>
      </c>
      <c r="W474">
        <f>HYPERLINK("https://klasma.github.io/Logging_2031/klagomålsmail/A 61983-2022.docx", "A 61983-2022")</f>
        <v/>
      </c>
      <c r="X474">
        <f>HYPERLINK("https://klasma.github.io/Logging_2031/tillsyn/A 61983-2022.docx", "A 61983-2022")</f>
        <v/>
      </c>
      <c r="Y474">
        <f>HYPERLINK("https://klasma.github.io/Logging_2031/tillsynsmail/A 61983-2022.docx", "A 61983-2022")</f>
        <v/>
      </c>
    </row>
    <row r="475" ht="15" customHeight="1">
      <c r="A475" t="inlineStr">
        <is>
          <t>A 865-2023</t>
        </is>
      </c>
      <c r="B475" s="1" t="n">
        <v>44931</v>
      </c>
      <c r="C475" s="1" t="n">
        <v>45210</v>
      </c>
      <c r="D475" t="inlineStr">
        <is>
          <t>DALARNAS LÄN</t>
        </is>
      </c>
      <c r="E475" t="inlineStr">
        <is>
          <t>BORLÄNGE</t>
        </is>
      </c>
      <c r="G475" t="n">
        <v>3.1</v>
      </c>
      <c r="H475" t="n">
        <v>1</v>
      </c>
      <c r="I475" t="n">
        <v>0</v>
      </c>
      <c r="J475" t="n">
        <v>0</v>
      </c>
      <c r="K475" t="n">
        <v>1</v>
      </c>
      <c r="L475" t="n">
        <v>0</v>
      </c>
      <c r="M475" t="n">
        <v>0</v>
      </c>
      <c r="N475" t="n">
        <v>0</v>
      </c>
      <c r="O475" t="n">
        <v>1</v>
      </c>
      <c r="P475" t="n">
        <v>1</v>
      </c>
      <c r="Q475" t="n">
        <v>1</v>
      </c>
      <c r="R475" s="2" t="inlineStr">
        <is>
          <t>Knärot</t>
        </is>
      </c>
      <c r="S475">
        <f>HYPERLINK("https://klasma.github.io/Logging_2081/artfynd/A 865-2023.xlsx", "A 865-2023")</f>
        <v/>
      </c>
      <c r="T475">
        <f>HYPERLINK("https://klasma.github.io/Logging_2081/kartor/A 865-2023.png", "A 865-2023")</f>
        <v/>
      </c>
      <c r="U475">
        <f>HYPERLINK("https://klasma.github.io/Logging_2081/knärot/A 865-2023.png", "A 865-2023")</f>
        <v/>
      </c>
      <c r="V475">
        <f>HYPERLINK("https://klasma.github.io/Logging_2081/klagomål/A 865-2023.docx", "A 865-2023")</f>
        <v/>
      </c>
      <c r="W475">
        <f>HYPERLINK("https://klasma.github.io/Logging_2081/klagomålsmail/A 865-2023.docx", "A 865-2023")</f>
        <v/>
      </c>
      <c r="X475">
        <f>HYPERLINK("https://klasma.github.io/Logging_2081/tillsyn/A 865-2023.docx", "A 865-2023")</f>
        <v/>
      </c>
      <c r="Y475">
        <f>HYPERLINK("https://klasma.github.io/Logging_2081/tillsynsmail/A 865-2023.docx", "A 865-2023")</f>
        <v/>
      </c>
    </row>
    <row r="476" ht="15" customHeight="1">
      <c r="A476" t="inlineStr">
        <is>
          <t>A 3528-2023</t>
        </is>
      </c>
      <c r="B476" s="1" t="n">
        <v>44950</v>
      </c>
      <c r="C476" s="1" t="n">
        <v>45210</v>
      </c>
      <c r="D476" t="inlineStr">
        <is>
          <t>DALARNAS LÄN</t>
        </is>
      </c>
      <c r="E476" t="inlineStr">
        <is>
          <t>SÄTER</t>
        </is>
      </c>
      <c r="G476" t="n">
        <v>7.2</v>
      </c>
      <c r="H476" t="n">
        <v>1</v>
      </c>
      <c r="I476" t="n">
        <v>0</v>
      </c>
      <c r="J476" t="n">
        <v>0</v>
      </c>
      <c r="K476" t="n">
        <v>1</v>
      </c>
      <c r="L476" t="n">
        <v>0</v>
      </c>
      <c r="M476" t="n">
        <v>0</v>
      </c>
      <c r="N476" t="n">
        <v>0</v>
      </c>
      <c r="O476" t="n">
        <v>1</v>
      </c>
      <c r="P476" t="n">
        <v>1</v>
      </c>
      <c r="Q476" t="n">
        <v>1</v>
      </c>
      <c r="R476" s="2" t="inlineStr">
        <is>
          <t>Knärot</t>
        </is>
      </c>
      <c r="S476">
        <f>HYPERLINK("https://klasma.github.io/Logging_2082/artfynd/A 3528-2023.xlsx", "A 3528-2023")</f>
        <v/>
      </c>
      <c r="T476">
        <f>HYPERLINK("https://klasma.github.io/Logging_2082/kartor/A 3528-2023.png", "A 3528-2023")</f>
        <v/>
      </c>
      <c r="U476">
        <f>HYPERLINK("https://klasma.github.io/Logging_2082/knärot/A 3528-2023.png", "A 3528-2023")</f>
        <v/>
      </c>
      <c r="V476">
        <f>HYPERLINK("https://klasma.github.io/Logging_2082/klagomål/A 3528-2023.docx", "A 3528-2023")</f>
        <v/>
      </c>
      <c r="W476">
        <f>HYPERLINK("https://klasma.github.io/Logging_2082/klagomålsmail/A 3528-2023.docx", "A 3528-2023")</f>
        <v/>
      </c>
      <c r="X476">
        <f>HYPERLINK("https://klasma.github.io/Logging_2082/tillsyn/A 3528-2023.docx", "A 3528-2023")</f>
        <v/>
      </c>
      <c r="Y476">
        <f>HYPERLINK("https://klasma.github.io/Logging_2082/tillsynsmail/A 3528-2023.docx", "A 3528-2023")</f>
        <v/>
      </c>
    </row>
    <row r="477" ht="15" customHeight="1">
      <c r="A477" t="inlineStr">
        <is>
          <t>A 5070-2023</t>
        </is>
      </c>
      <c r="B477" s="1" t="n">
        <v>44958</v>
      </c>
      <c r="C477" s="1" t="n">
        <v>45210</v>
      </c>
      <c r="D477" t="inlineStr">
        <is>
          <t>DALARNAS LÄN</t>
        </is>
      </c>
      <c r="E477" t="inlineStr">
        <is>
          <t>VANSBRO</t>
        </is>
      </c>
      <c r="F477" t="inlineStr">
        <is>
          <t>Övriga statliga verk och myndigheter</t>
        </is>
      </c>
      <c r="G477" t="n">
        <v>7.4</v>
      </c>
      <c r="H477" t="n">
        <v>0</v>
      </c>
      <c r="I477" t="n">
        <v>0</v>
      </c>
      <c r="J477" t="n">
        <v>1</v>
      </c>
      <c r="K477" t="n">
        <v>0</v>
      </c>
      <c r="L477" t="n">
        <v>0</v>
      </c>
      <c r="M477" t="n">
        <v>0</v>
      </c>
      <c r="N477" t="n">
        <v>0</v>
      </c>
      <c r="O477" t="n">
        <v>1</v>
      </c>
      <c r="P477" t="n">
        <v>0</v>
      </c>
      <c r="Q477" t="n">
        <v>1</v>
      </c>
      <c r="R477" s="2" t="inlineStr">
        <is>
          <t>Späd bäckmossa</t>
        </is>
      </c>
      <c r="S477">
        <f>HYPERLINK("https://klasma.github.io/Logging_2021/artfynd/A 5070-2023.xlsx", "A 5070-2023")</f>
        <v/>
      </c>
      <c r="T477">
        <f>HYPERLINK("https://klasma.github.io/Logging_2021/kartor/A 5070-2023.png", "A 5070-2023")</f>
        <v/>
      </c>
      <c r="U477">
        <f>HYPERLINK("https://klasma.github.io/Logging_2021/knärot/A 5070-2023.png", "A 5070-2023")</f>
        <v/>
      </c>
      <c r="V477">
        <f>HYPERLINK("https://klasma.github.io/Logging_2021/klagomål/A 5070-2023.docx", "A 5070-2023")</f>
        <v/>
      </c>
      <c r="W477">
        <f>HYPERLINK("https://klasma.github.io/Logging_2021/klagomålsmail/A 5070-2023.docx", "A 5070-2023")</f>
        <v/>
      </c>
      <c r="X477">
        <f>HYPERLINK("https://klasma.github.io/Logging_2021/tillsyn/A 5070-2023.docx", "A 5070-2023")</f>
        <v/>
      </c>
      <c r="Y477">
        <f>HYPERLINK("https://klasma.github.io/Logging_2021/tillsynsmail/A 5070-2023.docx", "A 5070-2023")</f>
        <v/>
      </c>
    </row>
    <row r="478" ht="15" customHeight="1">
      <c r="A478" t="inlineStr">
        <is>
          <t>A 6977-2023</t>
        </is>
      </c>
      <c r="B478" s="1" t="n">
        <v>44967</v>
      </c>
      <c r="C478" s="1" t="n">
        <v>45210</v>
      </c>
      <c r="D478" t="inlineStr">
        <is>
          <t>DALARNAS LÄN</t>
        </is>
      </c>
      <c r="E478" t="inlineStr">
        <is>
          <t>LEKSAND</t>
        </is>
      </c>
      <c r="G478" t="n">
        <v>5</v>
      </c>
      <c r="H478" t="n">
        <v>0</v>
      </c>
      <c r="I478" t="n">
        <v>0</v>
      </c>
      <c r="J478" t="n">
        <v>1</v>
      </c>
      <c r="K478" t="n">
        <v>0</v>
      </c>
      <c r="L478" t="n">
        <v>0</v>
      </c>
      <c r="M478" t="n">
        <v>0</v>
      </c>
      <c r="N478" t="n">
        <v>0</v>
      </c>
      <c r="O478" t="n">
        <v>1</v>
      </c>
      <c r="P478" t="n">
        <v>0</v>
      </c>
      <c r="Q478" t="n">
        <v>1</v>
      </c>
      <c r="R478" s="2" t="inlineStr">
        <is>
          <t>Backstarr</t>
        </is>
      </c>
      <c r="S478">
        <f>HYPERLINK("https://klasma.github.io/Logging_2029/artfynd/A 6977-2023.xlsx", "A 6977-2023")</f>
        <v/>
      </c>
      <c r="T478">
        <f>HYPERLINK("https://klasma.github.io/Logging_2029/kartor/A 6977-2023.png", "A 6977-2023")</f>
        <v/>
      </c>
      <c r="V478">
        <f>HYPERLINK("https://klasma.github.io/Logging_2029/klagomål/A 6977-2023.docx", "A 6977-2023")</f>
        <v/>
      </c>
      <c r="W478">
        <f>HYPERLINK("https://klasma.github.io/Logging_2029/klagomålsmail/A 6977-2023.docx", "A 6977-2023")</f>
        <v/>
      </c>
      <c r="X478">
        <f>HYPERLINK("https://klasma.github.io/Logging_2029/tillsyn/A 6977-2023.docx", "A 6977-2023")</f>
        <v/>
      </c>
      <c r="Y478">
        <f>HYPERLINK("https://klasma.github.io/Logging_2029/tillsynsmail/A 6977-2023.docx", "A 6977-2023")</f>
        <v/>
      </c>
    </row>
    <row r="479" ht="15" customHeight="1">
      <c r="A479" t="inlineStr">
        <is>
          <t>A 8529-2023</t>
        </is>
      </c>
      <c r="B479" s="1" t="n">
        <v>44977</v>
      </c>
      <c r="C479" s="1" t="n">
        <v>45210</v>
      </c>
      <c r="D479" t="inlineStr">
        <is>
          <t>DALARNAS LÄN</t>
        </is>
      </c>
      <c r="E479" t="inlineStr">
        <is>
          <t>LEKSAND</t>
        </is>
      </c>
      <c r="G479" t="n">
        <v>2.7</v>
      </c>
      <c r="H479" t="n">
        <v>1</v>
      </c>
      <c r="I479" t="n">
        <v>0</v>
      </c>
      <c r="J479" t="n">
        <v>0</v>
      </c>
      <c r="K479" t="n">
        <v>1</v>
      </c>
      <c r="L479" t="n">
        <v>0</v>
      </c>
      <c r="M479" t="n">
        <v>0</v>
      </c>
      <c r="N479" t="n">
        <v>0</v>
      </c>
      <c r="O479" t="n">
        <v>1</v>
      </c>
      <c r="P479" t="n">
        <v>1</v>
      </c>
      <c r="Q479" t="n">
        <v>1</v>
      </c>
      <c r="R479" s="2" t="inlineStr">
        <is>
          <t>Knärot</t>
        </is>
      </c>
      <c r="S479">
        <f>HYPERLINK("https://klasma.github.io/Logging_2029/artfynd/A 8529-2023.xlsx", "A 8529-2023")</f>
        <v/>
      </c>
      <c r="T479">
        <f>HYPERLINK("https://klasma.github.io/Logging_2029/kartor/A 8529-2023.png", "A 8529-2023")</f>
        <v/>
      </c>
      <c r="U479">
        <f>HYPERLINK("https://klasma.github.io/Logging_2029/knärot/A 8529-2023.png", "A 8529-2023")</f>
        <v/>
      </c>
      <c r="V479">
        <f>HYPERLINK("https://klasma.github.io/Logging_2029/klagomål/A 8529-2023.docx", "A 8529-2023")</f>
        <v/>
      </c>
      <c r="W479">
        <f>HYPERLINK("https://klasma.github.io/Logging_2029/klagomålsmail/A 8529-2023.docx", "A 8529-2023")</f>
        <v/>
      </c>
      <c r="X479">
        <f>HYPERLINK("https://klasma.github.io/Logging_2029/tillsyn/A 8529-2023.docx", "A 8529-2023")</f>
        <v/>
      </c>
      <c r="Y479">
        <f>HYPERLINK("https://klasma.github.io/Logging_2029/tillsynsmail/A 8529-2023.docx", "A 8529-2023")</f>
        <v/>
      </c>
    </row>
    <row r="480" ht="15" customHeight="1">
      <c r="A480" t="inlineStr">
        <is>
          <t>A 10247-2023</t>
        </is>
      </c>
      <c r="B480" s="1" t="n">
        <v>44986</v>
      </c>
      <c r="C480" s="1" t="n">
        <v>45210</v>
      </c>
      <c r="D480" t="inlineStr">
        <is>
          <t>DALARNAS LÄN</t>
        </is>
      </c>
      <c r="E480" t="inlineStr">
        <is>
          <t>RÄTTVIK</t>
        </is>
      </c>
      <c r="G480" t="n">
        <v>9.9</v>
      </c>
      <c r="H480" t="n">
        <v>0</v>
      </c>
      <c r="I480" t="n">
        <v>0</v>
      </c>
      <c r="J480" t="n">
        <v>1</v>
      </c>
      <c r="K480" t="n">
        <v>0</v>
      </c>
      <c r="L480" t="n">
        <v>0</v>
      </c>
      <c r="M480" t="n">
        <v>0</v>
      </c>
      <c r="N480" t="n">
        <v>0</v>
      </c>
      <c r="O480" t="n">
        <v>1</v>
      </c>
      <c r="P480" t="n">
        <v>0</v>
      </c>
      <c r="Q480" t="n">
        <v>1</v>
      </c>
      <c r="R480" s="2" t="inlineStr">
        <is>
          <t>Dvärgbägarlav</t>
        </is>
      </c>
      <c r="S480">
        <f>HYPERLINK("https://klasma.github.io/Logging_2031/artfynd/A 10247-2023.xlsx", "A 10247-2023")</f>
        <v/>
      </c>
      <c r="T480">
        <f>HYPERLINK("https://klasma.github.io/Logging_2031/kartor/A 10247-2023.png", "A 10247-2023")</f>
        <v/>
      </c>
      <c r="V480">
        <f>HYPERLINK("https://klasma.github.io/Logging_2031/klagomål/A 10247-2023.docx", "A 10247-2023")</f>
        <v/>
      </c>
      <c r="W480">
        <f>HYPERLINK("https://klasma.github.io/Logging_2031/klagomålsmail/A 10247-2023.docx", "A 10247-2023")</f>
        <v/>
      </c>
      <c r="X480">
        <f>HYPERLINK("https://klasma.github.io/Logging_2031/tillsyn/A 10247-2023.docx", "A 10247-2023")</f>
        <v/>
      </c>
      <c r="Y480">
        <f>HYPERLINK("https://klasma.github.io/Logging_2031/tillsynsmail/A 10247-2023.docx", "A 10247-2023")</f>
        <v/>
      </c>
    </row>
    <row r="481" ht="15" customHeight="1">
      <c r="A481" t="inlineStr">
        <is>
          <t>A 11754-2023</t>
        </is>
      </c>
      <c r="B481" s="1" t="n">
        <v>44993</v>
      </c>
      <c r="C481" s="1" t="n">
        <v>45210</v>
      </c>
      <c r="D481" t="inlineStr">
        <is>
          <t>DALARNAS LÄN</t>
        </is>
      </c>
      <c r="E481" t="inlineStr">
        <is>
          <t>LEKSAND</t>
        </is>
      </c>
      <c r="G481" t="n">
        <v>4.7</v>
      </c>
      <c r="H481" t="n">
        <v>1</v>
      </c>
      <c r="I481" t="n">
        <v>0</v>
      </c>
      <c r="J481" t="n">
        <v>0</v>
      </c>
      <c r="K481" t="n">
        <v>1</v>
      </c>
      <c r="L481" t="n">
        <v>0</v>
      </c>
      <c r="M481" t="n">
        <v>0</v>
      </c>
      <c r="N481" t="n">
        <v>0</v>
      </c>
      <c r="O481" t="n">
        <v>1</v>
      </c>
      <c r="P481" t="n">
        <v>1</v>
      </c>
      <c r="Q481" t="n">
        <v>1</v>
      </c>
      <c r="R481" s="2" t="inlineStr">
        <is>
          <t>Knärot</t>
        </is>
      </c>
      <c r="S481">
        <f>HYPERLINK("https://klasma.github.io/Logging_2029/artfynd/A 11754-2023.xlsx", "A 11754-2023")</f>
        <v/>
      </c>
      <c r="T481">
        <f>HYPERLINK("https://klasma.github.io/Logging_2029/kartor/A 11754-2023.png", "A 11754-2023")</f>
        <v/>
      </c>
      <c r="U481">
        <f>HYPERLINK("https://klasma.github.io/Logging_2029/knärot/A 11754-2023.png", "A 11754-2023")</f>
        <v/>
      </c>
      <c r="V481">
        <f>HYPERLINK("https://klasma.github.io/Logging_2029/klagomål/A 11754-2023.docx", "A 11754-2023")</f>
        <v/>
      </c>
      <c r="W481">
        <f>HYPERLINK("https://klasma.github.io/Logging_2029/klagomålsmail/A 11754-2023.docx", "A 11754-2023")</f>
        <v/>
      </c>
      <c r="X481">
        <f>HYPERLINK("https://klasma.github.io/Logging_2029/tillsyn/A 11754-2023.docx", "A 11754-2023")</f>
        <v/>
      </c>
      <c r="Y481">
        <f>HYPERLINK("https://klasma.github.io/Logging_2029/tillsynsmail/A 11754-2023.docx", "A 11754-2023")</f>
        <v/>
      </c>
    </row>
    <row r="482" ht="15" customHeight="1">
      <c r="A482" t="inlineStr">
        <is>
          <t>A 11742-2023</t>
        </is>
      </c>
      <c r="B482" s="1" t="n">
        <v>44994</v>
      </c>
      <c r="C482" s="1" t="n">
        <v>45210</v>
      </c>
      <c r="D482" t="inlineStr">
        <is>
          <t>DALARNAS LÄN</t>
        </is>
      </c>
      <c r="E482" t="inlineStr">
        <is>
          <t>HEDEMORA</t>
        </is>
      </c>
      <c r="G482" t="n">
        <v>6</v>
      </c>
      <c r="H482" t="n">
        <v>0</v>
      </c>
      <c r="I482" t="n">
        <v>0</v>
      </c>
      <c r="J482" t="n">
        <v>1</v>
      </c>
      <c r="K482" t="n">
        <v>0</v>
      </c>
      <c r="L482" t="n">
        <v>0</v>
      </c>
      <c r="M482" t="n">
        <v>0</v>
      </c>
      <c r="N482" t="n">
        <v>0</v>
      </c>
      <c r="O482" t="n">
        <v>1</v>
      </c>
      <c r="P482" t="n">
        <v>0</v>
      </c>
      <c r="Q482" t="n">
        <v>1</v>
      </c>
      <c r="R482" s="2" t="inlineStr">
        <is>
          <t>Tallticka</t>
        </is>
      </c>
      <c r="S482">
        <f>HYPERLINK("https://klasma.github.io/Logging_2083/artfynd/A 11742-2023.xlsx", "A 11742-2023")</f>
        <v/>
      </c>
      <c r="T482">
        <f>HYPERLINK("https://klasma.github.io/Logging_2083/kartor/A 11742-2023.png", "A 11742-2023")</f>
        <v/>
      </c>
      <c r="V482">
        <f>HYPERLINK("https://klasma.github.io/Logging_2083/klagomål/A 11742-2023.docx", "A 11742-2023")</f>
        <v/>
      </c>
      <c r="W482">
        <f>HYPERLINK("https://klasma.github.io/Logging_2083/klagomålsmail/A 11742-2023.docx", "A 11742-2023")</f>
        <v/>
      </c>
      <c r="X482">
        <f>HYPERLINK("https://klasma.github.io/Logging_2083/tillsyn/A 11742-2023.docx", "A 11742-2023")</f>
        <v/>
      </c>
      <c r="Y482">
        <f>HYPERLINK("https://klasma.github.io/Logging_2083/tillsynsmail/A 11742-2023.docx", "A 11742-2023")</f>
        <v/>
      </c>
    </row>
    <row r="483" ht="15" customHeight="1">
      <c r="A483" t="inlineStr">
        <is>
          <t>A 13986-2023</t>
        </is>
      </c>
      <c r="B483" s="1" t="n">
        <v>45008</v>
      </c>
      <c r="C483" s="1" t="n">
        <v>45210</v>
      </c>
      <c r="D483" t="inlineStr">
        <is>
          <t>DALARNAS LÄN</t>
        </is>
      </c>
      <c r="E483" t="inlineStr">
        <is>
          <t>HEDEMORA</t>
        </is>
      </c>
      <c r="G483" t="n">
        <v>0.8</v>
      </c>
      <c r="H483" t="n">
        <v>1</v>
      </c>
      <c r="I483" t="n">
        <v>0</v>
      </c>
      <c r="J483" t="n">
        <v>0</v>
      </c>
      <c r="K483" t="n">
        <v>1</v>
      </c>
      <c r="L483" t="n">
        <v>0</v>
      </c>
      <c r="M483" t="n">
        <v>0</v>
      </c>
      <c r="N483" t="n">
        <v>0</v>
      </c>
      <c r="O483" t="n">
        <v>1</v>
      </c>
      <c r="P483" t="n">
        <v>1</v>
      </c>
      <c r="Q483" t="n">
        <v>1</v>
      </c>
      <c r="R483" s="2" t="inlineStr">
        <is>
          <t>Knärot</t>
        </is>
      </c>
      <c r="S483">
        <f>HYPERLINK("https://klasma.github.io/Logging_2083/artfynd/A 13986-2023.xlsx", "A 13986-2023")</f>
        <v/>
      </c>
      <c r="T483">
        <f>HYPERLINK("https://klasma.github.io/Logging_2083/kartor/A 13986-2023.png", "A 13986-2023")</f>
        <v/>
      </c>
      <c r="U483">
        <f>HYPERLINK("https://klasma.github.io/Logging_2083/knärot/A 13986-2023.png", "A 13986-2023")</f>
        <v/>
      </c>
      <c r="V483">
        <f>HYPERLINK("https://klasma.github.io/Logging_2083/klagomål/A 13986-2023.docx", "A 13986-2023")</f>
        <v/>
      </c>
      <c r="W483">
        <f>HYPERLINK("https://klasma.github.io/Logging_2083/klagomålsmail/A 13986-2023.docx", "A 13986-2023")</f>
        <v/>
      </c>
      <c r="X483">
        <f>HYPERLINK("https://klasma.github.io/Logging_2083/tillsyn/A 13986-2023.docx", "A 13986-2023")</f>
        <v/>
      </c>
      <c r="Y483">
        <f>HYPERLINK("https://klasma.github.io/Logging_2083/tillsynsmail/A 13986-2023.docx", "A 13986-2023")</f>
        <v/>
      </c>
    </row>
    <row r="484" ht="15" customHeight="1">
      <c r="A484" t="inlineStr">
        <is>
          <t>A 15124-2023</t>
        </is>
      </c>
      <c r="B484" s="1" t="n">
        <v>45015</v>
      </c>
      <c r="C484" s="1" t="n">
        <v>45210</v>
      </c>
      <c r="D484" t="inlineStr">
        <is>
          <t>DALARNAS LÄN</t>
        </is>
      </c>
      <c r="E484" t="inlineStr">
        <is>
          <t>SMEDJEBACKEN</t>
        </is>
      </c>
      <c r="F484" t="inlineStr">
        <is>
          <t>Bergvik skog väst AB</t>
        </is>
      </c>
      <c r="G484" t="n">
        <v>6.2</v>
      </c>
      <c r="H484" t="n">
        <v>0</v>
      </c>
      <c r="I484" t="n">
        <v>0</v>
      </c>
      <c r="J484" t="n">
        <v>1</v>
      </c>
      <c r="K484" t="n">
        <v>0</v>
      </c>
      <c r="L484" t="n">
        <v>0</v>
      </c>
      <c r="M484" t="n">
        <v>0</v>
      </c>
      <c r="N484" t="n">
        <v>0</v>
      </c>
      <c r="O484" t="n">
        <v>1</v>
      </c>
      <c r="P484" t="n">
        <v>0</v>
      </c>
      <c r="Q484" t="n">
        <v>1</v>
      </c>
      <c r="R484" s="2" t="inlineStr">
        <is>
          <t>Skogsklocka</t>
        </is>
      </c>
      <c r="S484">
        <f>HYPERLINK("https://klasma.github.io/Logging_2061/artfynd/A 15124-2023.xlsx", "A 15124-2023")</f>
        <v/>
      </c>
      <c r="T484">
        <f>HYPERLINK("https://klasma.github.io/Logging_2061/kartor/A 15124-2023.png", "A 15124-2023")</f>
        <v/>
      </c>
      <c r="V484">
        <f>HYPERLINK("https://klasma.github.io/Logging_2061/klagomål/A 15124-2023.docx", "A 15124-2023")</f>
        <v/>
      </c>
      <c r="W484">
        <f>HYPERLINK("https://klasma.github.io/Logging_2061/klagomålsmail/A 15124-2023.docx", "A 15124-2023")</f>
        <v/>
      </c>
      <c r="X484">
        <f>HYPERLINK("https://klasma.github.io/Logging_2061/tillsyn/A 15124-2023.docx", "A 15124-2023")</f>
        <v/>
      </c>
      <c r="Y484">
        <f>HYPERLINK("https://klasma.github.io/Logging_2061/tillsynsmail/A 15124-2023.docx", "A 15124-2023")</f>
        <v/>
      </c>
    </row>
    <row r="485" ht="15" customHeight="1">
      <c r="A485" t="inlineStr">
        <is>
          <t>A 15432-2023</t>
        </is>
      </c>
      <c r="B485" s="1" t="n">
        <v>45020</v>
      </c>
      <c r="C485" s="1" t="n">
        <v>45210</v>
      </c>
      <c r="D485" t="inlineStr">
        <is>
          <t>DALARNAS LÄN</t>
        </is>
      </c>
      <c r="E485" t="inlineStr">
        <is>
          <t>LEKSAND</t>
        </is>
      </c>
      <c r="G485" t="n">
        <v>2.5</v>
      </c>
      <c r="H485" t="n">
        <v>0</v>
      </c>
      <c r="I485" t="n">
        <v>1</v>
      </c>
      <c r="J485" t="n">
        <v>0</v>
      </c>
      <c r="K485" t="n">
        <v>0</v>
      </c>
      <c r="L485" t="n">
        <v>0</v>
      </c>
      <c r="M485" t="n">
        <v>0</v>
      </c>
      <c r="N485" t="n">
        <v>0</v>
      </c>
      <c r="O485" t="n">
        <v>0</v>
      </c>
      <c r="P485" t="n">
        <v>0</v>
      </c>
      <c r="Q485" t="n">
        <v>1</v>
      </c>
      <c r="R485" s="2" t="inlineStr">
        <is>
          <t>Mindre märgborre</t>
        </is>
      </c>
      <c r="S485">
        <f>HYPERLINK("https://klasma.github.io/Logging_2029/artfynd/A 15432-2023.xlsx", "A 15432-2023")</f>
        <v/>
      </c>
      <c r="T485">
        <f>HYPERLINK("https://klasma.github.io/Logging_2029/kartor/A 15432-2023.png", "A 15432-2023")</f>
        <v/>
      </c>
      <c r="V485">
        <f>HYPERLINK("https://klasma.github.io/Logging_2029/klagomål/A 15432-2023.docx", "A 15432-2023")</f>
        <v/>
      </c>
      <c r="W485">
        <f>HYPERLINK("https://klasma.github.io/Logging_2029/klagomålsmail/A 15432-2023.docx", "A 15432-2023")</f>
        <v/>
      </c>
      <c r="X485">
        <f>HYPERLINK("https://klasma.github.io/Logging_2029/tillsyn/A 15432-2023.docx", "A 15432-2023")</f>
        <v/>
      </c>
      <c r="Y485">
        <f>HYPERLINK("https://klasma.github.io/Logging_2029/tillsynsmail/A 15432-2023.docx", "A 15432-2023")</f>
        <v/>
      </c>
    </row>
    <row r="486" ht="15" customHeight="1">
      <c r="A486" t="inlineStr">
        <is>
          <t>A 17199-2023</t>
        </is>
      </c>
      <c r="B486" s="1" t="n">
        <v>45034</v>
      </c>
      <c r="C486" s="1" t="n">
        <v>45210</v>
      </c>
      <c r="D486" t="inlineStr">
        <is>
          <t>DALARNAS LÄN</t>
        </is>
      </c>
      <c r="E486" t="inlineStr">
        <is>
          <t>FALUN</t>
        </is>
      </c>
      <c r="G486" t="n">
        <v>16.6</v>
      </c>
      <c r="H486" t="n">
        <v>0</v>
      </c>
      <c r="I486" t="n">
        <v>0</v>
      </c>
      <c r="J486" t="n">
        <v>1</v>
      </c>
      <c r="K486" t="n">
        <v>0</v>
      </c>
      <c r="L486" t="n">
        <v>0</v>
      </c>
      <c r="M486" t="n">
        <v>0</v>
      </c>
      <c r="N486" t="n">
        <v>0</v>
      </c>
      <c r="O486" t="n">
        <v>1</v>
      </c>
      <c r="P486" t="n">
        <v>0</v>
      </c>
      <c r="Q486" t="n">
        <v>1</v>
      </c>
      <c r="R486" s="2" t="inlineStr">
        <is>
          <t>Garnlav</t>
        </is>
      </c>
      <c r="S486">
        <f>HYPERLINK("https://klasma.github.io/Logging_2080/artfynd/A 17199-2023.xlsx", "A 17199-2023")</f>
        <v/>
      </c>
      <c r="T486">
        <f>HYPERLINK("https://klasma.github.io/Logging_2080/kartor/A 17199-2023.png", "A 17199-2023")</f>
        <v/>
      </c>
      <c r="V486">
        <f>HYPERLINK("https://klasma.github.io/Logging_2080/klagomål/A 17199-2023.docx", "A 17199-2023")</f>
        <v/>
      </c>
      <c r="W486">
        <f>HYPERLINK("https://klasma.github.io/Logging_2080/klagomålsmail/A 17199-2023.docx", "A 17199-2023")</f>
        <v/>
      </c>
      <c r="X486">
        <f>HYPERLINK("https://klasma.github.io/Logging_2080/tillsyn/A 17199-2023.docx", "A 17199-2023")</f>
        <v/>
      </c>
      <c r="Y486">
        <f>HYPERLINK("https://klasma.github.io/Logging_2080/tillsynsmail/A 17199-2023.docx", "A 17199-2023")</f>
        <v/>
      </c>
    </row>
    <row r="487" ht="15" customHeight="1">
      <c r="A487" t="inlineStr">
        <is>
          <t>A 17571-2023</t>
        </is>
      </c>
      <c r="B487" s="1" t="n">
        <v>45036</v>
      </c>
      <c r="C487" s="1" t="n">
        <v>45210</v>
      </c>
      <c r="D487" t="inlineStr">
        <is>
          <t>DALARNAS LÄN</t>
        </is>
      </c>
      <c r="E487" t="inlineStr">
        <is>
          <t>BORLÄNGE</t>
        </is>
      </c>
      <c r="G487" t="n">
        <v>1.4</v>
      </c>
      <c r="H487" t="n">
        <v>1</v>
      </c>
      <c r="I487" t="n">
        <v>0</v>
      </c>
      <c r="J487" t="n">
        <v>1</v>
      </c>
      <c r="K487" t="n">
        <v>0</v>
      </c>
      <c r="L487" t="n">
        <v>0</v>
      </c>
      <c r="M487" t="n">
        <v>0</v>
      </c>
      <c r="N487" t="n">
        <v>0</v>
      </c>
      <c r="O487" t="n">
        <v>1</v>
      </c>
      <c r="P487" t="n">
        <v>0</v>
      </c>
      <c r="Q487" t="n">
        <v>1</v>
      </c>
      <c r="R487" s="2" t="inlineStr">
        <is>
          <t>Spillkråka</t>
        </is>
      </c>
      <c r="S487">
        <f>HYPERLINK("https://klasma.github.io/Logging_2081/artfynd/A 17571-2023.xlsx", "A 17571-2023")</f>
        <v/>
      </c>
      <c r="T487">
        <f>HYPERLINK("https://klasma.github.io/Logging_2081/kartor/A 17571-2023.png", "A 17571-2023")</f>
        <v/>
      </c>
      <c r="V487">
        <f>HYPERLINK("https://klasma.github.io/Logging_2081/klagomål/A 17571-2023.docx", "A 17571-2023")</f>
        <v/>
      </c>
      <c r="W487">
        <f>HYPERLINK("https://klasma.github.io/Logging_2081/klagomålsmail/A 17571-2023.docx", "A 17571-2023")</f>
        <v/>
      </c>
      <c r="X487">
        <f>HYPERLINK("https://klasma.github.io/Logging_2081/tillsyn/A 17571-2023.docx", "A 17571-2023")</f>
        <v/>
      </c>
      <c r="Y487">
        <f>HYPERLINK("https://klasma.github.io/Logging_2081/tillsynsmail/A 17571-2023.docx", "A 17571-2023")</f>
        <v/>
      </c>
    </row>
    <row r="488" ht="15" customHeight="1">
      <c r="A488" t="inlineStr">
        <is>
          <t>A 17743-2023</t>
        </is>
      </c>
      <c r="B488" s="1" t="n">
        <v>45037</v>
      </c>
      <c r="C488" s="1" t="n">
        <v>45210</v>
      </c>
      <c r="D488" t="inlineStr">
        <is>
          <t>DALARNAS LÄN</t>
        </is>
      </c>
      <c r="E488" t="inlineStr">
        <is>
          <t>FALUN</t>
        </is>
      </c>
      <c r="G488" t="n">
        <v>1.6</v>
      </c>
      <c r="H488" t="n">
        <v>0</v>
      </c>
      <c r="I488" t="n">
        <v>0</v>
      </c>
      <c r="J488" t="n">
        <v>1</v>
      </c>
      <c r="K488" t="n">
        <v>0</v>
      </c>
      <c r="L488" t="n">
        <v>0</v>
      </c>
      <c r="M488" t="n">
        <v>0</v>
      </c>
      <c r="N488" t="n">
        <v>0</v>
      </c>
      <c r="O488" t="n">
        <v>1</v>
      </c>
      <c r="P488" t="n">
        <v>0</v>
      </c>
      <c r="Q488" t="n">
        <v>1</v>
      </c>
      <c r="R488" s="2" t="inlineStr">
        <is>
          <t>Garnlav</t>
        </is>
      </c>
      <c r="S488">
        <f>HYPERLINK("https://klasma.github.io/Logging_2080/artfynd/A 17743-2023.xlsx", "A 17743-2023")</f>
        <v/>
      </c>
      <c r="T488">
        <f>HYPERLINK("https://klasma.github.io/Logging_2080/kartor/A 17743-2023.png", "A 17743-2023")</f>
        <v/>
      </c>
      <c r="V488">
        <f>HYPERLINK("https://klasma.github.io/Logging_2080/klagomål/A 17743-2023.docx", "A 17743-2023")</f>
        <v/>
      </c>
      <c r="W488">
        <f>HYPERLINK("https://klasma.github.io/Logging_2080/klagomålsmail/A 17743-2023.docx", "A 17743-2023")</f>
        <v/>
      </c>
      <c r="X488">
        <f>HYPERLINK("https://klasma.github.io/Logging_2080/tillsyn/A 17743-2023.docx", "A 17743-2023")</f>
        <v/>
      </c>
      <c r="Y488">
        <f>HYPERLINK("https://klasma.github.io/Logging_2080/tillsynsmail/A 17743-2023.docx", "A 17743-2023")</f>
        <v/>
      </c>
    </row>
    <row r="489" ht="15" customHeight="1">
      <c r="A489" t="inlineStr">
        <is>
          <t>A 17899-2023</t>
        </is>
      </c>
      <c r="B489" s="1" t="n">
        <v>45039</v>
      </c>
      <c r="C489" s="1" t="n">
        <v>45210</v>
      </c>
      <c r="D489" t="inlineStr">
        <is>
          <t>DALARNAS LÄN</t>
        </is>
      </c>
      <c r="E489" t="inlineStr">
        <is>
          <t>LEKSAND</t>
        </is>
      </c>
      <c r="G489" t="n">
        <v>1.9</v>
      </c>
      <c r="H489" t="n">
        <v>0</v>
      </c>
      <c r="I489" t="n">
        <v>0</v>
      </c>
      <c r="J489" t="n">
        <v>1</v>
      </c>
      <c r="K489" t="n">
        <v>0</v>
      </c>
      <c r="L489" t="n">
        <v>0</v>
      </c>
      <c r="M489" t="n">
        <v>0</v>
      </c>
      <c r="N489" t="n">
        <v>0</v>
      </c>
      <c r="O489" t="n">
        <v>1</v>
      </c>
      <c r="P489" t="n">
        <v>0</v>
      </c>
      <c r="Q489" t="n">
        <v>1</v>
      </c>
      <c r="R489" s="2" t="inlineStr">
        <is>
          <t>Grantaggsvamp</t>
        </is>
      </c>
      <c r="S489">
        <f>HYPERLINK("https://klasma.github.io/Logging_2029/artfynd/A 17899-2023.xlsx", "A 17899-2023")</f>
        <v/>
      </c>
      <c r="T489">
        <f>HYPERLINK("https://klasma.github.io/Logging_2029/kartor/A 17899-2023.png", "A 17899-2023")</f>
        <v/>
      </c>
      <c r="V489">
        <f>HYPERLINK("https://klasma.github.io/Logging_2029/klagomål/A 17899-2023.docx", "A 17899-2023")</f>
        <v/>
      </c>
      <c r="W489">
        <f>HYPERLINK("https://klasma.github.io/Logging_2029/klagomålsmail/A 17899-2023.docx", "A 17899-2023")</f>
        <v/>
      </c>
      <c r="X489">
        <f>HYPERLINK("https://klasma.github.io/Logging_2029/tillsyn/A 17899-2023.docx", "A 17899-2023")</f>
        <v/>
      </c>
      <c r="Y489">
        <f>HYPERLINK("https://klasma.github.io/Logging_2029/tillsynsmail/A 17899-2023.docx", "A 17899-2023")</f>
        <v/>
      </c>
    </row>
    <row r="490" ht="15" customHeight="1">
      <c r="A490" t="inlineStr">
        <is>
          <t>A 17913-2023</t>
        </is>
      </c>
      <c r="B490" s="1" t="n">
        <v>45040</v>
      </c>
      <c r="C490" s="1" t="n">
        <v>45210</v>
      </c>
      <c r="D490" t="inlineStr">
        <is>
          <t>DALARNAS LÄN</t>
        </is>
      </c>
      <c r="E490" t="inlineStr">
        <is>
          <t>BORLÄNGE</t>
        </is>
      </c>
      <c r="G490" t="n">
        <v>8.800000000000001</v>
      </c>
      <c r="H490" t="n">
        <v>1</v>
      </c>
      <c r="I490" t="n">
        <v>0</v>
      </c>
      <c r="J490" t="n">
        <v>0</v>
      </c>
      <c r="K490" t="n">
        <v>0</v>
      </c>
      <c r="L490" t="n">
        <v>0</v>
      </c>
      <c r="M490" t="n">
        <v>0</v>
      </c>
      <c r="N490" t="n">
        <v>0</v>
      </c>
      <c r="O490" t="n">
        <v>0</v>
      </c>
      <c r="P490" t="n">
        <v>0</v>
      </c>
      <c r="Q490" t="n">
        <v>1</v>
      </c>
      <c r="R490" s="2" t="inlineStr">
        <is>
          <t>Fläcknycklar</t>
        </is>
      </c>
      <c r="S490">
        <f>HYPERLINK("https://klasma.github.io/Logging_2081/artfynd/A 17913-2023.xlsx", "A 17913-2023")</f>
        <v/>
      </c>
      <c r="T490">
        <f>HYPERLINK("https://klasma.github.io/Logging_2081/kartor/A 17913-2023.png", "A 17913-2023")</f>
        <v/>
      </c>
      <c r="V490">
        <f>HYPERLINK("https://klasma.github.io/Logging_2081/klagomål/A 17913-2023.docx", "A 17913-2023")</f>
        <v/>
      </c>
      <c r="W490">
        <f>HYPERLINK("https://klasma.github.io/Logging_2081/klagomålsmail/A 17913-2023.docx", "A 17913-2023")</f>
        <v/>
      </c>
      <c r="X490">
        <f>HYPERLINK("https://klasma.github.io/Logging_2081/tillsyn/A 17913-2023.docx", "A 17913-2023")</f>
        <v/>
      </c>
      <c r="Y490">
        <f>HYPERLINK("https://klasma.github.io/Logging_2081/tillsynsmail/A 17913-2023.docx", "A 17913-2023")</f>
        <v/>
      </c>
    </row>
    <row r="491" ht="15" customHeight="1">
      <c r="A491" t="inlineStr">
        <is>
          <t>A 18067-2023</t>
        </is>
      </c>
      <c r="B491" s="1" t="n">
        <v>45040</v>
      </c>
      <c r="C491" s="1" t="n">
        <v>45210</v>
      </c>
      <c r="D491" t="inlineStr">
        <is>
          <t>DALARNAS LÄN</t>
        </is>
      </c>
      <c r="E491" t="inlineStr">
        <is>
          <t>FALUN</t>
        </is>
      </c>
      <c r="G491" t="n">
        <v>7.7</v>
      </c>
      <c r="H491" t="n">
        <v>0</v>
      </c>
      <c r="I491" t="n">
        <v>1</v>
      </c>
      <c r="J491" t="n">
        <v>0</v>
      </c>
      <c r="K491" t="n">
        <v>0</v>
      </c>
      <c r="L491" t="n">
        <v>0</v>
      </c>
      <c r="M491" t="n">
        <v>0</v>
      </c>
      <c r="N491" t="n">
        <v>0</v>
      </c>
      <c r="O491" t="n">
        <v>0</v>
      </c>
      <c r="P491" t="n">
        <v>0</v>
      </c>
      <c r="Q491" t="n">
        <v>1</v>
      </c>
      <c r="R491" s="2" t="inlineStr">
        <is>
          <t>Ögonpyrola</t>
        </is>
      </c>
      <c r="S491">
        <f>HYPERLINK("https://klasma.github.io/Logging_2080/artfynd/A 18067-2023.xlsx", "A 18067-2023")</f>
        <v/>
      </c>
      <c r="T491">
        <f>HYPERLINK("https://klasma.github.io/Logging_2080/kartor/A 18067-2023.png", "A 18067-2023")</f>
        <v/>
      </c>
      <c r="V491">
        <f>HYPERLINK("https://klasma.github.io/Logging_2080/klagomål/A 18067-2023.docx", "A 18067-2023")</f>
        <v/>
      </c>
      <c r="W491">
        <f>HYPERLINK("https://klasma.github.io/Logging_2080/klagomålsmail/A 18067-2023.docx", "A 18067-2023")</f>
        <v/>
      </c>
      <c r="X491">
        <f>HYPERLINK("https://klasma.github.io/Logging_2080/tillsyn/A 18067-2023.docx", "A 18067-2023")</f>
        <v/>
      </c>
      <c r="Y491">
        <f>HYPERLINK("https://klasma.github.io/Logging_2080/tillsynsmail/A 18067-2023.docx", "A 18067-2023")</f>
        <v/>
      </c>
    </row>
    <row r="492" ht="15" customHeight="1">
      <c r="A492" t="inlineStr">
        <is>
          <t>A 18298-2023</t>
        </is>
      </c>
      <c r="B492" s="1" t="n">
        <v>45041</v>
      </c>
      <c r="C492" s="1" t="n">
        <v>45210</v>
      </c>
      <c r="D492" t="inlineStr">
        <is>
          <t>DALARNAS LÄN</t>
        </is>
      </c>
      <c r="E492" t="inlineStr">
        <is>
          <t>LUDVIKA</t>
        </is>
      </c>
      <c r="G492" t="n">
        <v>3.4</v>
      </c>
      <c r="H492" t="n">
        <v>1</v>
      </c>
      <c r="I492" t="n">
        <v>0</v>
      </c>
      <c r="J492" t="n">
        <v>0</v>
      </c>
      <c r="K492" t="n">
        <v>0</v>
      </c>
      <c r="L492" t="n">
        <v>0</v>
      </c>
      <c r="M492" t="n">
        <v>0</v>
      </c>
      <c r="N492" t="n">
        <v>0</v>
      </c>
      <c r="O492" t="n">
        <v>0</v>
      </c>
      <c r="P492" t="n">
        <v>0</v>
      </c>
      <c r="Q492" t="n">
        <v>1</v>
      </c>
      <c r="R492" s="2" t="inlineStr">
        <is>
          <t>Fläcknycklar</t>
        </is>
      </c>
      <c r="S492">
        <f>HYPERLINK("https://klasma.github.io/Logging_2085/artfynd/A 18298-2023.xlsx", "A 18298-2023")</f>
        <v/>
      </c>
      <c r="T492">
        <f>HYPERLINK("https://klasma.github.io/Logging_2085/kartor/A 18298-2023.png", "A 18298-2023")</f>
        <v/>
      </c>
      <c r="V492">
        <f>HYPERLINK("https://klasma.github.io/Logging_2085/klagomål/A 18298-2023.docx", "A 18298-2023")</f>
        <v/>
      </c>
      <c r="W492">
        <f>HYPERLINK("https://klasma.github.io/Logging_2085/klagomålsmail/A 18298-2023.docx", "A 18298-2023")</f>
        <v/>
      </c>
      <c r="X492">
        <f>HYPERLINK("https://klasma.github.io/Logging_2085/tillsyn/A 18298-2023.docx", "A 18298-2023")</f>
        <v/>
      </c>
      <c r="Y492">
        <f>HYPERLINK("https://klasma.github.io/Logging_2085/tillsynsmail/A 18298-2023.docx", "A 18298-2023")</f>
        <v/>
      </c>
    </row>
    <row r="493" ht="15" customHeight="1">
      <c r="A493" t="inlineStr">
        <is>
          <t>A 20231-2023</t>
        </is>
      </c>
      <c r="B493" s="1" t="n">
        <v>45055</v>
      </c>
      <c r="C493" s="1" t="n">
        <v>45210</v>
      </c>
      <c r="D493" t="inlineStr">
        <is>
          <t>DALARNAS LÄN</t>
        </is>
      </c>
      <c r="E493" t="inlineStr">
        <is>
          <t>HEDEMORA</t>
        </is>
      </c>
      <c r="F493" t="inlineStr">
        <is>
          <t>Bergvik skog väst AB</t>
        </is>
      </c>
      <c r="G493" t="n">
        <v>3.9</v>
      </c>
      <c r="H493" t="n">
        <v>1</v>
      </c>
      <c r="I493" t="n">
        <v>0</v>
      </c>
      <c r="J493" t="n">
        <v>1</v>
      </c>
      <c r="K493" t="n">
        <v>0</v>
      </c>
      <c r="L493" t="n">
        <v>0</v>
      </c>
      <c r="M493" t="n">
        <v>0</v>
      </c>
      <c r="N493" t="n">
        <v>0</v>
      </c>
      <c r="O493" t="n">
        <v>1</v>
      </c>
      <c r="P493" t="n">
        <v>0</v>
      </c>
      <c r="Q493" t="n">
        <v>1</v>
      </c>
      <c r="R493" s="2" t="inlineStr">
        <is>
          <t>Tretåig hackspett</t>
        </is>
      </c>
      <c r="S493">
        <f>HYPERLINK("https://klasma.github.io/Logging_2083/artfynd/A 20231-2023.xlsx", "A 20231-2023")</f>
        <v/>
      </c>
      <c r="T493">
        <f>HYPERLINK("https://klasma.github.io/Logging_2083/kartor/A 20231-2023.png", "A 20231-2023")</f>
        <v/>
      </c>
      <c r="V493">
        <f>HYPERLINK("https://klasma.github.io/Logging_2083/klagomål/A 20231-2023.docx", "A 20231-2023")</f>
        <v/>
      </c>
      <c r="W493">
        <f>HYPERLINK("https://klasma.github.io/Logging_2083/klagomålsmail/A 20231-2023.docx", "A 20231-2023")</f>
        <v/>
      </c>
      <c r="X493">
        <f>HYPERLINK("https://klasma.github.io/Logging_2083/tillsyn/A 20231-2023.docx", "A 20231-2023")</f>
        <v/>
      </c>
      <c r="Y493">
        <f>HYPERLINK("https://klasma.github.io/Logging_2083/tillsynsmail/A 20231-2023.docx", "A 20231-2023")</f>
        <v/>
      </c>
    </row>
    <row r="494" ht="15" customHeight="1">
      <c r="A494" t="inlineStr">
        <is>
          <t>A 21147-2023</t>
        </is>
      </c>
      <c r="B494" s="1" t="n">
        <v>45057</v>
      </c>
      <c r="C494" s="1" t="n">
        <v>45210</v>
      </c>
      <c r="D494" t="inlineStr">
        <is>
          <t>DALARNAS LÄN</t>
        </is>
      </c>
      <c r="E494" t="inlineStr">
        <is>
          <t>HEDEMORA</t>
        </is>
      </c>
      <c r="G494" t="n">
        <v>10</v>
      </c>
      <c r="H494" t="n">
        <v>1</v>
      </c>
      <c r="I494" t="n">
        <v>0</v>
      </c>
      <c r="J494" t="n">
        <v>0</v>
      </c>
      <c r="K494" t="n">
        <v>0</v>
      </c>
      <c r="L494" t="n">
        <v>0</v>
      </c>
      <c r="M494" t="n">
        <v>0</v>
      </c>
      <c r="N494" t="n">
        <v>0</v>
      </c>
      <c r="O494" t="n">
        <v>0</v>
      </c>
      <c r="P494" t="n">
        <v>0</v>
      </c>
      <c r="Q494" t="n">
        <v>1</v>
      </c>
      <c r="R494" s="2" t="inlineStr">
        <is>
          <t>Blåsippa</t>
        </is>
      </c>
      <c r="S494">
        <f>HYPERLINK("https://klasma.github.io/Logging_2083/artfynd/A 21147-2023.xlsx", "A 21147-2023")</f>
        <v/>
      </c>
      <c r="T494">
        <f>HYPERLINK("https://klasma.github.io/Logging_2083/kartor/A 21147-2023.png", "A 21147-2023")</f>
        <v/>
      </c>
      <c r="V494">
        <f>HYPERLINK("https://klasma.github.io/Logging_2083/klagomål/A 21147-2023.docx", "A 21147-2023")</f>
        <v/>
      </c>
      <c r="W494">
        <f>HYPERLINK("https://klasma.github.io/Logging_2083/klagomålsmail/A 21147-2023.docx", "A 21147-2023")</f>
        <v/>
      </c>
      <c r="X494">
        <f>HYPERLINK("https://klasma.github.io/Logging_2083/tillsyn/A 21147-2023.docx", "A 21147-2023")</f>
        <v/>
      </c>
      <c r="Y494">
        <f>HYPERLINK("https://klasma.github.io/Logging_2083/tillsynsmail/A 21147-2023.docx", "A 21147-2023")</f>
        <v/>
      </c>
    </row>
    <row r="495" ht="15" customHeight="1">
      <c r="A495" t="inlineStr">
        <is>
          <t>A 20939-2023</t>
        </is>
      </c>
      <c r="B495" s="1" t="n">
        <v>45061</v>
      </c>
      <c r="C495" s="1" t="n">
        <v>45210</v>
      </c>
      <c r="D495" t="inlineStr">
        <is>
          <t>DALARNAS LÄN</t>
        </is>
      </c>
      <c r="E495" t="inlineStr">
        <is>
          <t>GAGNEF</t>
        </is>
      </c>
      <c r="G495" t="n">
        <v>6.8</v>
      </c>
      <c r="H495" t="n">
        <v>0</v>
      </c>
      <c r="I495" t="n">
        <v>1</v>
      </c>
      <c r="J495" t="n">
        <v>0</v>
      </c>
      <c r="K495" t="n">
        <v>0</v>
      </c>
      <c r="L495" t="n">
        <v>0</v>
      </c>
      <c r="M495" t="n">
        <v>0</v>
      </c>
      <c r="N495" t="n">
        <v>0</v>
      </c>
      <c r="O495" t="n">
        <v>0</v>
      </c>
      <c r="P495" t="n">
        <v>0</v>
      </c>
      <c r="Q495" t="n">
        <v>1</v>
      </c>
      <c r="R495" s="2" t="inlineStr">
        <is>
          <t>Gräsull</t>
        </is>
      </c>
      <c r="S495">
        <f>HYPERLINK("https://klasma.github.io/Logging_2026/artfynd/A 20939-2023.xlsx", "A 20939-2023")</f>
        <v/>
      </c>
      <c r="T495">
        <f>HYPERLINK("https://klasma.github.io/Logging_2026/kartor/A 20939-2023.png", "A 20939-2023")</f>
        <v/>
      </c>
      <c r="V495">
        <f>HYPERLINK("https://klasma.github.io/Logging_2026/klagomål/A 20939-2023.docx", "A 20939-2023")</f>
        <v/>
      </c>
      <c r="W495">
        <f>HYPERLINK("https://klasma.github.io/Logging_2026/klagomålsmail/A 20939-2023.docx", "A 20939-2023")</f>
        <v/>
      </c>
      <c r="X495">
        <f>HYPERLINK("https://klasma.github.io/Logging_2026/tillsyn/A 20939-2023.docx", "A 20939-2023")</f>
        <v/>
      </c>
      <c r="Y495">
        <f>HYPERLINK("https://klasma.github.io/Logging_2026/tillsynsmail/A 20939-2023.docx", "A 20939-2023")</f>
        <v/>
      </c>
    </row>
    <row r="496" ht="15" customHeight="1">
      <c r="A496" t="inlineStr">
        <is>
          <t>A 20979-2023</t>
        </is>
      </c>
      <c r="B496" s="1" t="n">
        <v>45061</v>
      </c>
      <c r="C496" s="1" t="n">
        <v>45210</v>
      </c>
      <c r="D496" t="inlineStr">
        <is>
          <t>DALARNAS LÄN</t>
        </is>
      </c>
      <c r="E496" t="inlineStr">
        <is>
          <t>FALUN</t>
        </is>
      </c>
      <c r="F496" t="inlineStr">
        <is>
          <t>Bergvik skog väst AB</t>
        </is>
      </c>
      <c r="G496" t="n">
        <v>4.4</v>
      </c>
      <c r="H496" t="n">
        <v>1</v>
      </c>
      <c r="I496" t="n">
        <v>0</v>
      </c>
      <c r="J496" t="n">
        <v>0</v>
      </c>
      <c r="K496" t="n">
        <v>1</v>
      </c>
      <c r="L496" t="n">
        <v>0</v>
      </c>
      <c r="M496" t="n">
        <v>0</v>
      </c>
      <c r="N496" t="n">
        <v>0</v>
      </c>
      <c r="O496" t="n">
        <v>1</v>
      </c>
      <c r="P496" t="n">
        <v>1</v>
      </c>
      <c r="Q496" t="n">
        <v>1</v>
      </c>
      <c r="R496" s="2" t="inlineStr">
        <is>
          <t>Knärot</t>
        </is>
      </c>
      <c r="S496">
        <f>HYPERLINK("https://klasma.github.io/Logging_2080/artfynd/A 20979-2023.xlsx", "A 20979-2023")</f>
        <v/>
      </c>
      <c r="T496">
        <f>HYPERLINK("https://klasma.github.io/Logging_2080/kartor/A 20979-2023.png", "A 20979-2023")</f>
        <v/>
      </c>
      <c r="U496">
        <f>HYPERLINK("https://klasma.github.io/Logging_2080/knärot/A 20979-2023.png", "A 20979-2023")</f>
        <v/>
      </c>
      <c r="V496">
        <f>HYPERLINK("https://klasma.github.io/Logging_2080/klagomål/A 20979-2023.docx", "A 20979-2023")</f>
        <v/>
      </c>
      <c r="W496">
        <f>HYPERLINK("https://klasma.github.io/Logging_2080/klagomålsmail/A 20979-2023.docx", "A 20979-2023")</f>
        <v/>
      </c>
      <c r="X496">
        <f>HYPERLINK("https://klasma.github.io/Logging_2080/tillsyn/A 20979-2023.docx", "A 20979-2023")</f>
        <v/>
      </c>
      <c r="Y496">
        <f>HYPERLINK("https://klasma.github.io/Logging_2080/tillsynsmail/A 20979-2023.docx", "A 20979-2023")</f>
        <v/>
      </c>
    </row>
    <row r="497" ht="15" customHeight="1">
      <c r="A497" t="inlineStr">
        <is>
          <t>A 20925-2023</t>
        </is>
      </c>
      <c r="B497" s="1" t="n">
        <v>45061</v>
      </c>
      <c r="C497" s="1" t="n">
        <v>45210</v>
      </c>
      <c r="D497" t="inlineStr">
        <is>
          <t>DALARNAS LÄN</t>
        </is>
      </c>
      <c r="E497" t="inlineStr">
        <is>
          <t>BORLÄNGE</t>
        </is>
      </c>
      <c r="G497" t="n">
        <v>4.5</v>
      </c>
      <c r="H497" t="n">
        <v>1</v>
      </c>
      <c r="I497" t="n">
        <v>0</v>
      </c>
      <c r="J497" t="n">
        <v>0</v>
      </c>
      <c r="K497" t="n">
        <v>1</v>
      </c>
      <c r="L497" t="n">
        <v>0</v>
      </c>
      <c r="M497" t="n">
        <v>0</v>
      </c>
      <c r="N497" t="n">
        <v>0</v>
      </c>
      <c r="O497" t="n">
        <v>1</v>
      </c>
      <c r="P497" t="n">
        <v>1</v>
      </c>
      <c r="Q497" t="n">
        <v>1</v>
      </c>
      <c r="R497" s="2" t="inlineStr">
        <is>
          <t>Knärot</t>
        </is>
      </c>
      <c r="S497">
        <f>HYPERLINK("https://klasma.github.io/Logging_2081/artfynd/A 20925-2023.xlsx", "A 20925-2023")</f>
        <v/>
      </c>
      <c r="T497">
        <f>HYPERLINK("https://klasma.github.io/Logging_2081/kartor/A 20925-2023.png", "A 20925-2023")</f>
        <v/>
      </c>
      <c r="U497">
        <f>HYPERLINK("https://klasma.github.io/Logging_2081/knärot/A 20925-2023.png", "A 20925-2023")</f>
        <v/>
      </c>
      <c r="V497">
        <f>HYPERLINK("https://klasma.github.io/Logging_2081/klagomål/A 20925-2023.docx", "A 20925-2023")</f>
        <v/>
      </c>
      <c r="W497">
        <f>HYPERLINK("https://klasma.github.io/Logging_2081/klagomålsmail/A 20925-2023.docx", "A 20925-2023")</f>
        <v/>
      </c>
      <c r="X497">
        <f>HYPERLINK("https://klasma.github.io/Logging_2081/tillsyn/A 20925-2023.docx", "A 20925-2023")</f>
        <v/>
      </c>
      <c r="Y497">
        <f>HYPERLINK("https://klasma.github.io/Logging_2081/tillsynsmail/A 20925-2023.docx", "A 20925-2023")</f>
        <v/>
      </c>
    </row>
    <row r="498" ht="15" customHeight="1">
      <c r="A498" t="inlineStr">
        <is>
          <t>A 21419-2023</t>
        </is>
      </c>
      <c r="B498" s="1" t="n">
        <v>45061</v>
      </c>
      <c r="C498" s="1" t="n">
        <v>45210</v>
      </c>
      <c r="D498" t="inlineStr">
        <is>
          <t>DALARNAS LÄN</t>
        </is>
      </c>
      <c r="E498" t="inlineStr">
        <is>
          <t>LEKSAND</t>
        </is>
      </c>
      <c r="G498" t="n">
        <v>5.5</v>
      </c>
      <c r="H498" t="n">
        <v>1</v>
      </c>
      <c r="I498" t="n">
        <v>0</v>
      </c>
      <c r="J498" t="n">
        <v>0</v>
      </c>
      <c r="K498" t="n">
        <v>0</v>
      </c>
      <c r="L498" t="n">
        <v>0</v>
      </c>
      <c r="M498" t="n">
        <v>0</v>
      </c>
      <c r="N498" t="n">
        <v>0</v>
      </c>
      <c r="O498" t="n">
        <v>0</v>
      </c>
      <c r="P498" t="n">
        <v>0</v>
      </c>
      <c r="Q498" t="n">
        <v>1</v>
      </c>
      <c r="R498" s="2" t="inlineStr">
        <is>
          <t>Nattviol</t>
        </is>
      </c>
      <c r="S498">
        <f>HYPERLINK("https://klasma.github.io/Logging_2029/artfynd/A 21419-2023.xlsx", "A 21419-2023")</f>
        <v/>
      </c>
      <c r="T498">
        <f>HYPERLINK("https://klasma.github.io/Logging_2029/kartor/A 21419-2023.png", "A 21419-2023")</f>
        <v/>
      </c>
      <c r="V498">
        <f>HYPERLINK("https://klasma.github.io/Logging_2029/klagomål/A 21419-2023.docx", "A 21419-2023")</f>
        <v/>
      </c>
      <c r="W498">
        <f>HYPERLINK("https://klasma.github.io/Logging_2029/klagomålsmail/A 21419-2023.docx", "A 21419-2023")</f>
        <v/>
      </c>
      <c r="X498">
        <f>HYPERLINK("https://klasma.github.io/Logging_2029/tillsyn/A 21419-2023.docx", "A 21419-2023")</f>
        <v/>
      </c>
      <c r="Y498">
        <f>HYPERLINK("https://klasma.github.io/Logging_2029/tillsynsmail/A 21419-2023.docx", "A 21419-2023")</f>
        <v/>
      </c>
    </row>
    <row r="499" ht="15" customHeight="1">
      <c r="A499" t="inlineStr">
        <is>
          <t>A 21131-2023</t>
        </is>
      </c>
      <c r="B499" s="1" t="n">
        <v>45062</v>
      </c>
      <c r="C499" s="1" t="n">
        <v>45210</v>
      </c>
      <c r="D499" t="inlineStr">
        <is>
          <t>DALARNAS LÄN</t>
        </is>
      </c>
      <c r="E499" t="inlineStr">
        <is>
          <t>BORLÄNGE</t>
        </is>
      </c>
      <c r="G499" t="n">
        <v>4.4</v>
      </c>
      <c r="H499" t="n">
        <v>0</v>
      </c>
      <c r="I499" t="n">
        <v>0</v>
      </c>
      <c r="J499" t="n">
        <v>1</v>
      </c>
      <c r="K499" t="n">
        <v>0</v>
      </c>
      <c r="L499" t="n">
        <v>0</v>
      </c>
      <c r="M499" t="n">
        <v>0</v>
      </c>
      <c r="N499" t="n">
        <v>0</v>
      </c>
      <c r="O499" t="n">
        <v>1</v>
      </c>
      <c r="P499" t="n">
        <v>0</v>
      </c>
      <c r="Q499" t="n">
        <v>1</v>
      </c>
      <c r="R499" s="2" t="inlineStr">
        <is>
          <t>Garnlav</t>
        </is>
      </c>
      <c r="S499">
        <f>HYPERLINK("https://klasma.github.io/Logging_2081/artfynd/A 21131-2023.xlsx", "A 21131-2023")</f>
        <v/>
      </c>
      <c r="T499">
        <f>HYPERLINK("https://klasma.github.io/Logging_2081/kartor/A 21131-2023.png", "A 21131-2023")</f>
        <v/>
      </c>
      <c r="V499">
        <f>HYPERLINK("https://klasma.github.io/Logging_2081/klagomål/A 21131-2023.docx", "A 21131-2023")</f>
        <v/>
      </c>
      <c r="W499">
        <f>HYPERLINK("https://klasma.github.io/Logging_2081/klagomålsmail/A 21131-2023.docx", "A 21131-2023")</f>
        <v/>
      </c>
      <c r="X499">
        <f>HYPERLINK("https://klasma.github.io/Logging_2081/tillsyn/A 21131-2023.docx", "A 21131-2023")</f>
        <v/>
      </c>
      <c r="Y499">
        <f>HYPERLINK("https://klasma.github.io/Logging_2081/tillsynsmail/A 21131-2023.docx", "A 21131-2023")</f>
        <v/>
      </c>
    </row>
    <row r="500" ht="15" customHeight="1">
      <c r="A500" t="inlineStr">
        <is>
          <t>A 21710-2023</t>
        </is>
      </c>
      <c r="B500" s="1" t="n">
        <v>45064</v>
      </c>
      <c r="C500" s="1" t="n">
        <v>45210</v>
      </c>
      <c r="D500" t="inlineStr">
        <is>
          <t>DALARNAS LÄN</t>
        </is>
      </c>
      <c r="E500" t="inlineStr">
        <is>
          <t>SMEDJEBACKEN</t>
        </is>
      </c>
      <c r="F500" t="inlineStr">
        <is>
          <t>Övriga Aktiebolag</t>
        </is>
      </c>
      <c r="G500" t="n">
        <v>6.8</v>
      </c>
      <c r="H500" t="n">
        <v>1</v>
      </c>
      <c r="I500" t="n">
        <v>0</v>
      </c>
      <c r="J500" t="n">
        <v>0</v>
      </c>
      <c r="K500" t="n">
        <v>0</v>
      </c>
      <c r="L500" t="n">
        <v>0</v>
      </c>
      <c r="M500" t="n">
        <v>0</v>
      </c>
      <c r="N500" t="n">
        <v>0</v>
      </c>
      <c r="O500" t="n">
        <v>0</v>
      </c>
      <c r="P500" t="n">
        <v>0</v>
      </c>
      <c r="Q500" t="n">
        <v>1</v>
      </c>
      <c r="R500" s="2" t="inlineStr">
        <is>
          <t>Fläcknycklar</t>
        </is>
      </c>
      <c r="S500">
        <f>HYPERLINK("https://klasma.github.io/Logging_2061/artfynd/A 21710-2023.xlsx", "A 21710-2023")</f>
        <v/>
      </c>
      <c r="T500">
        <f>HYPERLINK("https://klasma.github.io/Logging_2061/kartor/A 21710-2023.png", "A 21710-2023")</f>
        <v/>
      </c>
      <c r="V500">
        <f>HYPERLINK("https://klasma.github.io/Logging_2061/klagomål/A 21710-2023.docx", "A 21710-2023")</f>
        <v/>
      </c>
      <c r="W500">
        <f>HYPERLINK("https://klasma.github.io/Logging_2061/klagomålsmail/A 21710-2023.docx", "A 21710-2023")</f>
        <v/>
      </c>
      <c r="X500">
        <f>HYPERLINK("https://klasma.github.io/Logging_2061/tillsyn/A 21710-2023.docx", "A 21710-2023")</f>
        <v/>
      </c>
      <c r="Y500">
        <f>HYPERLINK("https://klasma.github.io/Logging_2061/tillsynsmail/A 21710-2023.docx", "A 21710-2023")</f>
        <v/>
      </c>
    </row>
    <row r="501" ht="15" customHeight="1">
      <c r="A501" t="inlineStr">
        <is>
          <t>A 22069-2023</t>
        </is>
      </c>
      <c r="B501" s="1" t="n">
        <v>45069</v>
      </c>
      <c r="C501" s="1" t="n">
        <v>45210</v>
      </c>
      <c r="D501" t="inlineStr">
        <is>
          <t>DALARNAS LÄN</t>
        </is>
      </c>
      <c r="E501" t="inlineStr">
        <is>
          <t>FALUN</t>
        </is>
      </c>
      <c r="G501" t="n">
        <v>3</v>
      </c>
      <c r="H501" t="n">
        <v>1</v>
      </c>
      <c r="I501" t="n">
        <v>0</v>
      </c>
      <c r="J501" t="n">
        <v>1</v>
      </c>
      <c r="K501" t="n">
        <v>0</v>
      </c>
      <c r="L501" t="n">
        <v>0</v>
      </c>
      <c r="M501" t="n">
        <v>0</v>
      </c>
      <c r="N501" t="n">
        <v>0</v>
      </c>
      <c r="O501" t="n">
        <v>1</v>
      </c>
      <c r="P501" t="n">
        <v>0</v>
      </c>
      <c r="Q501" t="n">
        <v>1</v>
      </c>
      <c r="R501" s="2" t="inlineStr">
        <is>
          <t>Brun gräsfjäril</t>
        </is>
      </c>
      <c r="S501">
        <f>HYPERLINK("https://klasma.github.io/Logging_2080/artfynd/A 22069-2023.xlsx", "A 22069-2023")</f>
        <v/>
      </c>
      <c r="T501">
        <f>HYPERLINK("https://klasma.github.io/Logging_2080/kartor/A 22069-2023.png", "A 22069-2023")</f>
        <v/>
      </c>
      <c r="V501">
        <f>HYPERLINK("https://klasma.github.io/Logging_2080/klagomål/A 22069-2023.docx", "A 22069-2023")</f>
        <v/>
      </c>
      <c r="W501">
        <f>HYPERLINK("https://klasma.github.io/Logging_2080/klagomålsmail/A 22069-2023.docx", "A 22069-2023")</f>
        <v/>
      </c>
      <c r="X501">
        <f>HYPERLINK("https://klasma.github.io/Logging_2080/tillsyn/A 22069-2023.docx", "A 22069-2023")</f>
        <v/>
      </c>
      <c r="Y501">
        <f>HYPERLINK("https://klasma.github.io/Logging_2080/tillsynsmail/A 22069-2023.docx", "A 22069-2023")</f>
        <v/>
      </c>
    </row>
    <row r="502" ht="15" customHeight="1">
      <c r="A502" t="inlineStr">
        <is>
          <t>A 22900-2023</t>
        </is>
      </c>
      <c r="B502" s="1" t="n">
        <v>45072</v>
      </c>
      <c r="C502" s="1" t="n">
        <v>45210</v>
      </c>
      <c r="D502" t="inlineStr">
        <is>
          <t>DALARNAS LÄN</t>
        </is>
      </c>
      <c r="E502" t="inlineStr">
        <is>
          <t>BORLÄNGE</t>
        </is>
      </c>
      <c r="F502" t="inlineStr">
        <is>
          <t>Bergvik skog väst AB</t>
        </is>
      </c>
      <c r="G502" t="n">
        <v>4.8</v>
      </c>
      <c r="H502" t="n">
        <v>1</v>
      </c>
      <c r="I502" t="n">
        <v>0</v>
      </c>
      <c r="J502" t="n">
        <v>1</v>
      </c>
      <c r="K502" t="n">
        <v>0</v>
      </c>
      <c r="L502" t="n">
        <v>0</v>
      </c>
      <c r="M502" t="n">
        <v>0</v>
      </c>
      <c r="N502" t="n">
        <v>0</v>
      </c>
      <c r="O502" t="n">
        <v>1</v>
      </c>
      <c r="P502" t="n">
        <v>0</v>
      </c>
      <c r="Q502" t="n">
        <v>1</v>
      </c>
      <c r="R502" s="2" t="inlineStr">
        <is>
          <t>Brun gräsfjäril</t>
        </is>
      </c>
      <c r="S502">
        <f>HYPERLINK("https://klasma.github.io/Logging_2081/artfynd/A 22900-2023.xlsx", "A 22900-2023")</f>
        <v/>
      </c>
      <c r="T502">
        <f>HYPERLINK("https://klasma.github.io/Logging_2081/kartor/A 22900-2023.png", "A 22900-2023")</f>
        <v/>
      </c>
      <c r="V502">
        <f>HYPERLINK("https://klasma.github.io/Logging_2081/klagomål/A 22900-2023.docx", "A 22900-2023")</f>
        <v/>
      </c>
      <c r="W502">
        <f>HYPERLINK("https://klasma.github.io/Logging_2081/klagomålsmail/A 22900-2023.docx", "A 22900-2023")</f>
        <v/>
      </c>
      <c r="X502">
        <f>HYPERLINK("https://klasma.github.io/Logging_2081/tillsyn/A 22900-2023.docx", "A 22900-2023")</f>
        <v/>
      </c>
      <c r="Y502">
        <f>HYPERLINK("https://klasma.github.io/Logging_2081/tillsynsmail/A 22900-2023.docx", "A 22900-2023")</f>
        <v/>
      </c>
    </row>
    <row r="503" ht="15" customHeight="1">
      <c r="A503" t="inlineStr">
        <is>
          <t>A 23707-2023</t>
        </is>
      </c>
      <c r="B503" s="1" t="n">
        <v>45077</v>
      </c>
      <c r="C503" s="1" t="n">
        <v>45210</v>
      </c>
      <c r="D503" t="inlineStr">
        <is>
          <t>DALARNAS LÄN</t>
        </is>
      </c>
      <c r="E503" t="inlineStr">
        <is>
          <t>RÄTTVIK</t>
        </is>
      </c>
      <c r="G503" t="n">
        <v>3.4</v>
      </c>
      <c r="H503" t="n">
        <v>0</v>
      </c>
      <c r="I503" t="n">
        <v>1</v>
      </c>
      <c r="J503" t="n">
        <v>0</v>
      </c>
      <c r="K503" t="n">
        <v>0</v>
      </c>
      <c r="L503" t="n">
        <v>0</v>
      </c>
      <c r="M503" t="n">
        <v>0</v>
      </c>
      <c r="N503" t="n">
        <v>0</v>
      </c>
      <c r="O503" t="n">
        <v>0</v>
      </c>
      <c r="P503" t="n">
        <v>0</v>
      </c>
      <c r="Q503" t="n">
        <v>1</v>
      </c>
      <c r="R503" s="2" t="inlineStr">
        <is>
          <t>Vedticka</t>
        </is>
      </c>
      <c r="S503">
        <f>HYPERLINK("https://klasma.github.io/Logging_2031/artfynd/A 23707-2023.xlsx", "A 23707-2023")</f>
        <v/>
      </c>
      <c r="T503">
        <f>HYPERLINK("https://klasma.github.io/Logging_2031/kartor/A 23707-2023.png", "A 23707-2023")</f>
        <v/>
      </c>
      <c r="V503">
        <f>HYPERLINK("https://klasma.github.io/Logging_2031/klagomål/A 23707-2023.docx", "A 23707-2023")</f>
        <v/>
      </c>
      <c r="W503">
        <f>HYPERLINK("https://klasma.github.io/Logging_2031/klagomålsmail/A 23707-2023.docx", "A 23707-2023")</f>
        <v/>
      </c>
      <c r="X503">
        <f>HYPERLINK("https://klasma.github.io/Logging_2031/tillsyn/A 23707-2023.docx", "A 23707-2023")</f>
        <v/>
      </c>
      <c r="Y503">
        <f>HYPERLINK("https://klasma.github.io/Logging_2031/tillsynsmail/A 23707-2023.docx", "A 23707-2023")</f>
        <v/>
      </c>
    </row>
    <row r="504" ht="15" customHeight="1">
      <c r="A504" t="inlineStr">
        <is>
          <t>A 23736-2023</t>
        </is>
      </c>
      <c r="B504" s="1" t="n">
        <v>45077</v>
      </c>
      <c r="C504" s="1" t="n">
        <v>45210</v>
      </c>
      <c r="D504" t="inlineStr">
        <is>
          <t>DALARNAS LÄN</t>
        </is>
      </c>
      <c r="E504" t="inlineStr">
        <is>
          <t>MORA</t>
        </is>
      </c>
      <c r="G504" t="n">
        <v>7.2</v>
      </c>
      <c r="H504" t="n">
        <v>0</v>
      </c>
      <c r="I504" t="n">
        <v>0</v>
      </c>
      <c r="J504" t="n">
        <v>1</v>
      </c>
      <c r="K504" t="n">
        <v>0</v>
      </c>
      <c r="L504" t="n">
        <v>0</v>
      </c>
      <c r="M504" t="n">
        <v>0</v>
      </c>
      <c r="N504" t="n">
        <v>0</v>
      </c>
      <c r="O504" t="n">
        <v>1</v>
      </c>
      <c r="P504" t="n">
        <v>0</v>
      </c>
      <c r="Q504" t="n">
        <v>1</v>
      </c>
      <c r="R504" s="2" t="inlineStr">
        <is>
          <t>Reliktbock</t>
        </is>
      </c>
      <c r="S504">
        <f>HYPERLINK("https://klasma.github.io/Logging_2062/artfynd/A 23736-2023.xlsx", "A 23736-2023")</f>
        <v/>
      </c>
      <c r="T504">
        <f>HYPERLINK("https://klasma.github.io/Logging_2062/kartor/A 23736-2023.png", "A 23736-2023")</f>
        <v/>
      </c>
      <c r="V504">
        <f>HYPERLINK("https://klasma.github.io/Logging_2062/klagomål/A 23736-2023.docx", "A 23736-2023")</f>
        <v/>
      </c>
      <c r="W504">
        <f>HYPERLINK("https://klasma.github.io/Logging_2062/klagomålsmail/A 23736-2023.docx", "A 23736-2023")</f>
        <v/>
      </c>
      <c r="X504">
        <f>HYPERLINK("https://klasma.github.io/Logging_2062/tillsyn/A 23736-2023.docx", "A 23736-2023")</f>
        <v/>
      </c>
      <c r="Y504">
        <f>HYPERLINK("https://klasma.github.io/Logging_2062/tillsynsmail/A 23736-2023.docx", "A 23736-2023")</f>
        <v/>
      </c>
    </row>
    <row r="505" ht="15" customHeight="1">
      <c r="A505" t="inlineStr">
        <is>
          <t>A 23815-2023</t>
        </is>
      </c>
      <c r="B505" s="1" t="n">
        <v>45078</v>
      </c>
      <c r="C505" s="1" t="n">
        <v>45210</v>
      </c>
      <c r="D505" t="inlineStr">
        <is>
          <t>DALARNAS LÄN</t>
        </is>
      </c>
      <c r="E505" t="inlineStr">
        <is>
          <t>HEDEMORA</t>
        </is>
      </c>
      <c r="G505" t="n">
        <v>3.1</v>
      </c>
      <c r="H505" t="n">
        <v>1</v>
      </c>
      <c r="I505" t="n">
        <v>0</v>
      </c>
      <c r="J505" t="n">
        <v>0</v>
      </c>
      <c r="K505" t="n">
        <v>1</v>
      </c>
      <c r="L505" t="n">
        <v>0</v>
      </c>
      <c r="M505" t="n">
        <v>0</v>
      </c>
      <c r="N505" t="n">
        <v>0</v>
      </c>
      <c r="O505" t="n">
        <v>1</v>
      </c>
      <c r="P505" t="n">
        <v>1</v>
      </c>
      <c r="Q505" t="n">
        <v>1</v>
      </c>
      <c r="R505" s="2" t="inlineStr">
        <is>
          <t>Knärot</t>
        </is>
      </c>
      <c r="S505">
        <f>HYPERLINK("https://klasma.github.io/Logging_2083/artfynd/A 23815-2023.xlsx", "A 23815-2023")</f>
        <v/>
      </c>
      <c r="T505">
        <f>HYPERLINK("https://klasma.github.io/Logging_2083/kartor/A 23815-2023.png", "A 23815-2023")</f>
        <v/>
      </c>
      <c r="U505">
        <f>HYPERLINK("https://klasma.github.io/Logging_2083/knärot/A 23815-2023.png", "A 23815-2023")</f>
        <v/>
      </c>
      <c r="V505">
        <f>HYPERLINK("https://klasma.github.io/Logging_2083/klagomål/A 23815-2023.docx", "A 23815-2023")</f>
        <v/>
      </c>
      <c r="W505">
        <f>HYPERLINK("https://klasma.github.io/Logging_2083/klagomålsmail/A 23815-2023.docx", "A 23815-2023")</f>
        <v/>
      </c>
      <c r="X505">
        <f>HYPERLINK("https://klasma.github.io/Logging_2083/tillsyn/A 23815-2023.docx", "A 23815-2023")</f>
        <v/>
      </c>
      <c r="Y505">
        <f>HYPERLINK("https://klasma.github.io/Logging_2083/tillsynsmail/A 23815-2023.docx", "A 23815-2023")</f>
        <v/>
      </c>
    </row>
    <row r="506" ht="15" customHeight="1">
      <c r="A506" t="inlineStr">
        <is>
          <t>A 25588-2023</t>
        </is>
      </c>
      <c r="B506" s="1" t="n">
        <v>45089</v>
      </c>
      <c r="C506" s="1" t="n">
        <v>45210</v>
      </c>
      <c r="D506" t="inlineStr">
        <is>
          <t>DALARNAS LÄN</t>
        </is>
      </c>
      <c r="E506" t="inlineStr">
        <is>
          <t>LUDVIKA</t>
        </is>
      </c>
      <c r="G506" t="n">
        <v>9.4</v>
      </c>
      <c r="H506" t="n">
        <v>0</v>
      </c>
      <c r="I506" t="n">
        <v>0</v>
      </c>
      <c r="J506" t="n">
        <v>1</v>
      </c>
      <c r="K506" t="n">
        <v>0</v>
      </c>
      <c r="L506" t="n">
        <v>0</v>
      </c>
      <c r="M506" t="n">
        <v>0</v>
      </c>
      <c r="N506" t="n">
        <v>0</v>
      </c>
      <c r="O506" t="n">
        <v>1</v>
      </c>
      <c r="P506" t="n">
        <v>0</v>
      </c>
      <c r="Q506" t="n">
        <v>1</v>
      </c>
      <c r="R506" s="2" t="inlineStr">
        <is>
          <t>Garnlav</t>
        </is>
      </c>
      <c r="S506">
        <f>HYPERLINK("https://klasma.github.io/Logging_2085/artfynd/A 25588-2023.xlsx", "A 25588-2023")</f>
        <v/>
      </c>
      <c r="T506">
        <f>HYPERLINK("https://klasma.github.io/Logging_2085/kartor/A 25588-2023.png", "A 25588-2023")</f>
        <v/>
      </c>
      <c r="V506">
        <f>HYPERLINK("https://klasma.github.io/Logging_2085/klagomål/A 25588-2023.docx", "A 25588-2023")</f>
        <v/>
      </c>
      <c r="W506">
        <f>HYPERLINK("https://klasma.github.io/Logging_2085/klagomålsmail/A 25588-2023.docx", "A 25588-2023")</f>
        <v/>
      </c>
      <c r="X506">
        <f>HYPERLINK("https://klasma.github.io/Logging_2085/tillsyn/A 25588-2023.docx", "A 25588-2023")</f>
        <v/>
      </c>
      <c r="Y506">
        <f>HYPERLINK("https://klasma.github.io/Logging_2085/tillsynsmail/A 25588-2023.docx", "A 25588-2023")</f>
        <v/>
      </c>
    </row>
    <row r="507" ht="15" customHeight="1">
      <c r="A507" t="inlineStr">
        <is>
          <t>A 25763-2023</t>
        </is>
      </c>
      <c r="B507" s="1" t="n">
        <v>45090</v>
      </c>
      <c r="C507" s="1" t="n">
        <v>45210</v>
      </c>
      <c r="D507" t="inlineStr">
        <is>
          <t>DALARNAS LÄN</t>
        </is>
      </c>
      <c r="E507" t="inlineStr">
        <is>
          <t>BORLÄNGE</t>
        </is>
      </c>
      <c r="G507" t="n">
        <v>2.9</v>
      </c>
      <c r="H507" t="n">
        <v>1</v>
      </c>
      <c r="I507" t="n">
        <v>0</v>
      </c>
      <c r="J507" t="n">
        <v>0</v>
      </c>
      <c r="K507" t="n">
        <v>0</v>
      </c>
      <c r="L507" t="n">
        <v>0</v>
      </c>
      <c r="M507" t="n">
        <v>0</v>
      </c>
      <c r="N507" t="n">
        <v>0</v>
      </c>
      <c r="O507" t="n">
        <v>0</v>
      </c>
      <c r="P507" t="n">
        <v>0</v>
      </c>
      <c r="Q507" t="n">
        <v>1</v>
      </c>
      <c r="R507" s="2" t="inlineStr">
        <is>
          <t>Fläcknycklar</t>
        </is>
      </c>
      <c r="S507">
        <f>HYPERLINK("https://klasma.github.io/Logging_2081/artfynd/A 25763-2023.xlsx", "A 25763-2023")</f>
        <v/>
      </c>
      <c r="T507">
        <f>HYPERLINK("https://klasma.github.io/Logging_2081/kartor/A 25763-2023.png", "A 25763-2023")</f>
        <v/>
      </c>
      <c r="V507">
        <f>HYPERLINK("https://klasma.github.io/Logging_2081/klagomål/A 25763-2023.docx", "A 25763-2023")</f>
        <v/>
      </c>
      <c r="W507">
        <f>HYPERLINK("https://klasma.github.io/Logging_2081/klagomålsmail/A 25763-2023.docx", "A 25763-2023")</f>
        <v/>
      </c>
      <c r="X507">
        <f>HYPERLINK("https://klasma.github.io/Logging_2081/tillsyn/A 25763-2023.docx", "A 25763-2023")</f>
        <v/>
      </c>
      <c r="Y507">
        <f>HYPERLINK("https://klasma.github.io/Logging_2081/tillsynsmail/A 25763-2023.docx", "A 25763-2023")</f>
        <v/>
      </c>
    </row>
    <row r="508" ht="15" customHeight="1">
      <c r="A508" t="inlineStr">
        <is>
          <t>A 26287-2023</t>
        </is>
      </c>
      <c r="B508" s="1" t="n">
        <v>45091</v>
      </c>
      <c r="C508" s="1" t="n">
        <v>45210</v>
      </c>
      <c r="D508" t="inlineStr">
        <is>
          <t>DALARNAS LÄN</t>
        </is>
      </c>
      <c r="E508" t="inlineStr">
        <is>
          <t>LEKSAND</t>
        </is>
      </c>
      <c r="G508" t="n">
        <v>2.4</v>
      </c>
      <c r="H508" t="n">
        <v>0</v>
      </c>
      <c r="I508" t="n">
        <v>1</v>
      </c>
      <c r="J508" t="n">
        <v>0</v>
      </c>
      <c r="K508" t="n">
        <v>0</v>
      </c>
      <c r="L508" t="n">
        <v>0</v>
      </c>
      <c r="M508" t="n">
        <v>0</v>
      </c>
      <c r="N508" t="n">
        <v>0</v>
      </c>
      <c r="O508" t="n">
        <v>0</v>
      </c>
      <c r="P508" t="n">
        <v>0</v>
      </c>
      <c r="Q508" t="n">
        <v>1</v>
      </c>
      <c r="R508" s="2" t="inlineStr">
        <is>
          <t>Mindre märgborre</t>
        </is>
      </c>
      <c r="S508">
        <f>HYPERLINK("https://klasma.github.io/Logging_2029/artfynd/A 26287-2023.xlsx", "A 26287-2023")</f>
        <v/>
      </c>
      <c r="T508">
        <f>HYPERLINK("https://klasma.github.io/Logging_2029/kartor/A 26287-2023.png", "A 26287-2023")</f>
        <v/>
      </c>
      <c r="V508">
        <f>HYPERLINK("https://klasma.github.io/Logging_2029/klagomål/A 26287-2023.docx", "A 26287-2023")</f>
        <v/>
      </c>
      <c r="W508">
        <f>HYPERLINK("https://klasma.github.io/Logging_2029/klagomålsmail/A 26287-2023.docx", "A 26287-2023")</f>
        <v/>
      </c>
      <c r="X508">
        <f>HYPERLINK("https://klasma.github.io/Logging_2029/tillsyn/A 26287-2023.docx", "A 26287-2023")</f>
        <v/>
      </c>
      <c r="Y508">
        <f>HYPERLINK("https://klasma.github.io/Logging_2029/tillsynsmail/A 26287-2023.docx", "A 26287-2023")</f>
        <v/>
      </c>
    </row>
    <row r="509" ht="15" customHeight="1">
      <c r="A509" t="inlineStr">
        <is>
          <t>A 26586-2023</t>
        </is>
      </c>
      <c r="B509" s="1" t="n">
        <v>45092</v>
      </c>
      <c r="C509" s="1" t="n">
        <v>45210</v>
      </c>
      <c r="D509" t="inlineStr">
        <is>
          <t>DALARNAS LÄN</t>
        </is>
      </c>
      <c r="E509" t="inlineStr">
        <is>
          <t>FALUN</t>
        </is>
      </c>
      <c r="G509" t="n">
        <v>6.1</v>
      </c>
      <c r="H509" t="n">
        <v>1</v>
      </c>
      <c r="I509" t="n">
        <v>0</v>
      </c>
      <c r="J509" t="n">
        <v>1</v>
      </c>
      <c r="K509" t="n">
        <v>0</v>
      </c>
      <c r="L509" t="n">
        <v>0</v>
      </c>
      <c r="M509" t="n">
        <v>0</v>
      </c>
      <c r="N509" t="n">
        <v>0</v>
      </c>
      <c r="O509" t="n">
        <v>1</v>
      </c>
      <c r="P509" t="n">
        <v>0</v>
      </c>
      <c r="Q509" t="n">
        <v>1</v>
      </c>
      <c r="R509" s="2" t="inlineStr">
        <is>
          <t>Spillkråka</t>
        </is>
      </c>
      <c r="S509">
        <f>HYPERLINK("https://klasma.github.io/Logging_2080/artfynd/A 26586-2023.xlsx", "A 26586-2023")</f>
        <v/>
      </c>
      <c r="T509">
        <f>HYPERLINK("https://klasma.github.io/Logging_2080/kartor/A 26586-2023.png", "A 26586-2023")</f>
        <v/>
      </c>
      <c r="V509">
        <f>HYPERLINK("https://klasma.github.io/Logging_2080/klagomål/A 26586-2023.docx", "A 26586-2023")</f>
        <v/>
      </c>
      <c r="W509">
        <f>HYPERLINK("https://klasma.github.io/Logging_2080/klagomålsmail/A 26586-2023.docx", "A 26586-2023")</f>
        <v/>
      </c>
      <c r="X509">
        <f>HYPERLINK("https://klasma.github.io/Logging_2080/tillsyn/A 26586-2023.docx", "A 26586-2023")</f>
        <v/>
      </c>
      <c r="Y509">
        <f>HYPERLINK("https://klasma.github.io/Logging_2080/tillsynsmail/A 26586-2023.docx", "A 26586-2023")</f>
        <v/>
      </c>
    </row>
    <row r="510" ht="15" customHeight="1">
      <c r="A510" t="inlineStr">
        <is>
          <t>A 26850-2023</t>
        </is>
      </c>
      <c r="B510" s="1" t="n">
        <v>45093</v>
      </c>
      <c r="C510" s="1" t="n">
        <v>45210</v>
      </c>
      <c r="D510" t="inlineStr">
        <is>
          <t>DALARNAS LÄN</t>
        </is>
      </c>
      <c r="E510" t="inlineStr">
        <is>
          <t>LUDVIKA</t>
        </is>
      </c>
      <c r="F510" t="inlineStr">
        <is>
          <t>Naturvårdsverket</t>
        </is>
      </c>
      <c r="G510" t="n">
        <v>2.7</v>
      </c>
      <c r="H510" t="n">
        <v>0</v>
      </c>
      <c r="I510" t="n">
        <v>0</v>
      </c>
      <c r="J510" t="n">
        <v>1</v>
      </c>
      <c r="K510" t="n">
        <v>0</v>
      </c>
      <c r="L510" t="n">
        <v>0</v>
      </c>
      <c r="M510" t="n">
        <v>0</v>
      </c>
      <c r="N510" t="n">
        <v>0</v>
      </c>
      <c r="O510" t="n">
        <v>1</v>
      </c>
      <c r="P510" t="n">
        <v>0</v>
      </c>
      <c r="Q510" t="n">
        <v>1</v>
      </c>
      <c r="R510" s="2" t="inlineStr">
        <is>
          <t>Motaggsvamp</t>
        </is>
      </c>
      <c r="S510">
        <f>HYPERLINK("https://klasma.github.io/Logging_2085/artfynd/A 26850-2023.xlsx", "A 26850-2023")</f>
        <v/>
      </c>
      <c r="T510">
        <f>HYPERLINK("https://klasma.github.io/Logging_2085/kartor/A 26850-2023.png", "A 26850-2023")</f>
        <v/>
      </c>
      <c r="V510">
        <f>HYPERLINK("https://klasma.github.io/Logging_2085/klagomål/A 26850-2023.docx", "A 26850-2023")</f>
        <v/>
      </c>
      <c r="W510">
        <f>HYPERLINK("https://klasma.github.io/Logging_2085/klagomålsmail/A 26850-2023.docx", "A 26850-2023")</f>
        <v/>
      </c>
      <c r="X510">
        <f>HYPERLINK("https://klasma.github.io/Logging_2085/tillsyn/A 26850-2023.docx", "A 26850-2023")</f>
        <v/>
      </c>
      <c r="Y510">
        <f>HYPERLINK("https://klasma.github.io/Logging_2085/tillsynsmail/A 26850-2023.docx", "A 26850-2023")</f>
        <v/>
      </c>
    </row>
    <row r="511" ht="15" customHeight="1">
      <c r="A511" t="inlineStr">
        <is>
          <t>A 27715-2023</t>
        </is>
      </c>
      <c r="B511" s="1" t="n">
        <v>45098</v>
      </c>
      <c r="C511" s="1" t="n">
        <v>45210</v>
      </c>
      <c r="D511" t="inlineStr">
        <is>
          <t>DALARNAS LÄN</t>
        </is>
      </c>
      <c r="E511" t="inlineStr">
        <is>
          <t>SÄTER</t>
        </is>
      </c>
      <c r="G511" t="n">
        <v>1.4</v>
      </c>
      <c r="H511" t="n">
        <v>1</v>
      </c>
      <c r="I511" t="n">
        <v>0</v>
      </c>
      <c r="J511" t="n">
        <v>0</v>
      </c>
      <c r="K511" t="n">
        <v>0</v>
      </c>
      <c r="L511" t="n">
        <v>0</v>
      </c>
      <c r="M511" t="n">
        <v>0</v>
      </c>
      <c r="N511" t="n">
        <v>0</v>
      </c>
      <c r="O511" t="n">
        <v>0</v>
      </c>
      <c r="P511" t="n">
        <v>0</v>
      </c>
      <c r="Q511" t="n">
        <v>1</v>
      </c>
      <c r="R511" s="2" t="inlineStr">
        <is>
          <t>Mattlummer</t>
        </is>
      </c>
      <c r="S511">
        <f>HYPERLINK("https://klasma.github.io/Logging_2082/artfynd/A 27715-2023.xlsx", "A 27715-2023")</f>
        <v/>
      </c>
      <c r="T511">
        <f>HYPERLINK("https://klasma.github.io/Logging_2082/kartor/A 27715-2023.png", "A 27715-2023")</f>
        <v/>
      </c>
      <c r="V511">
        <f>HYPERLINK("https://klasma.github.io/Logging_2082/klagomål/A 27715-2023.docx", "A 27715-2023")</f>
        <v/>
      </c>
      <c r="W511">
        <f>HYPERLINK("https://klasma.github.io/Logging_2082/klagomålsmail/A 27715-2023.docx", "A 27715-2023")</f>
        <v/>
      </c>
      <c r="X511">
        <f>HYPERLINK("https://klasma.github.io/Logging_2082/tillsyn/A 27715-2023.docx", "A 27715-2023")</f>
        <v/>
      </c>
      <c r="Y511">
        <f>HYPERLINK("https://klasma.github.io/Logging_2082/tillsynsmail/A 27715-2023.docx", "A 27715-2023")</f>
        <v/>
      </c>
    </row>
    <row r="512" ht="15" customHeight="1">
      <c r="A512" t="inlineStr">
        <is>
          <t>A 28028-2023</t>
        </is>
      </c>
      <c r="B512" s="1" t="n">
        <v>45099</v>
      </c>
      <c r="C512" s="1" t="n">
        <v>45210</v>
      </c>
      <c r="D512" t="inlineStr">
        <is>
          <t>DALARNAS LÄN</t>
        </is>
      </c>
      <c r="E512" t="inlineStr">
        <is>
          <t>HEDEMORA</t>
        </is>
      </c>
      <c r="G512" t="n">
        <v>0.8</v>
      </c>
      <c r="H512" t="n">
        <v>1</v>
      </c>
      <c r="I512" t="n">
        <v>0</v>
      </c>
      <c r="J512" t="n">
        <v>0</v>
      </c>
      <c r="K512" t="n">
        <v>0</v>
      </c>
      <c r="L512" t="n">
        <v>0</v>
      </c>
      <c r="M512" t="n">
        <v>0</v>
      </c>
      <c r="N512" t="n">
        <v>0</v>
      </c>
      <c r="O512" t="n">
        <v>0</v>
      </c>
      <c r="P512" t="n">
        <v>0</v>
      </c>
      <c r="Q512" t="n">
        <v>1</v>
      </c>
      <c r="R512" s="2" t="inlineStr">
        <is>
          <t>Blåsippa</t>
        </is>
      </c>
      <c r="S512">
        <f>HYPERLINK("https://klasma.github.io/Logging_2083/artfynd/A 28028-2023.xlsx", "A 28028-2023")</f>
        <v/>
      </c>
      <c r="T512">
        <f>HYPERLINK("https://klasma.github.io/Logging_2083/kartor/A 28028-2023.png", "A 28028-2023")</f>
        <v/>
      </c>
      <c r="V512">
        <f>HYPERLINK("https://klasma.github.io/Logging_2083/klagomål/A 28028-2023.docx", "A 28028-2023")</f>
        <v/>
      </c>
      <c r="W512">
        <f>HYPERLINK("https://klasma.github.io/Logging_2083/klagomålsmail/A 28028-2023.docx", "A 28028-2023")</f>
        <v/>
      </c>
      <c r="X512">
        <f>HYPERLINK("https://klasma.github.io/Logging_2083/tillsyn/A 28028-2023.docx", "A 28028-2023")</f>
        <v/>
      </c>
      <c r="Y512">
        <f>HYPERLINK("https://klasma.github.io/Logging_2083/tillsynsmail/A 28028-2023.docx", "A 28028-2023")</f>
        <v/>
      </c>
    </row>
    <row r="513" ht="15" customHeight="1">
      <c r="A513" t="inlineStr">
        <is>
          <t>A 29044-2023</t>
        </is>
      </c>
      <c r="B513" s="1" t="n">
        <v>45104</v>
      </c>
      <c r="C513" s="1" t="n">
        <v>45210</v>
      </c>
      <c r="D513" t="inlineStr">
        <is>
          <t>DALARNAS LÄN</t>
        </is>
      </c>
      <c r="E513" t="inlineStr">
        <is>
          <t>ORSA</t>
        </is>
      </c>
      <c r="G513" t="n">
        <v>1.8</v>
      </c>
      <c r="H513" t="n">
        <v>0</v>
      </c>
      <c r="I513" t="n">
        <v>1</v>
      </c>
      <c r="J513" t="n">
        <v>0</v>
      </c>
      <c r="K513" t="n">
        <v>0</v>
      </c>
      <c r="L513" t="n">
        <v>0</v>
      </c>
      <c r="M513" t="n">
        <v>0</v>
      </c>
      <c r="N513" t="n">
        <v>0</v>
      </c>
      <c r="O513" t="n">
        <v>0</v>
      </c>
      <c r="P513" t="n">
        <v>0</v>
      </c>
      <c r="Q513" t="n">
        <v>1</v>
      </c>
      <c r="R513" s="2" t="inlineStr">
        <is>
          <t>Korallblylav</t>
        </is>
      </c>
      <c r="S513">
        <f>HYPERLINK("https://klasma.github.io/Logging_2034/artfynd/A 29044-2023.xlsx", "A 29044-2023")</f>
        <v/>
      </c>
      <c r="T513">
        <f>HYPERLINK("https://klasma.github.io/Logging_2034/kartor/A 29044-2023.png", "A 29044-2023")</f>
        <v/>
      </c>
      <c r="V513">
        <f>HYPERLINK("https://klasma.github.io/Logging_2034/klagomål/A 29044-2023.docx", "A 29044-2023")</f>
        <v/>
      </c>
      <c r="W513">
        <f>HYPERLINK("https://klasma.github.io/Logging_2034/klagomålsmail/A 29044-2023.docx", "A 29044-2023")</f>
        <v/>
      </c>
      <c r="X513">
        <f>HYPERLINK("https://klasma.github.io/Logging_2034/tillsyn/A 29044-2023.docx", "A 29044-2023")</f>
        <v/>
      </c>
      <c r="Y513">
        <f>HYPERLINK("https://klasma.github.io/Logging_2034/tillsynsmail/A 29044-2023.docx", "A 29044-2023")</f>
        <v/>
      </c>
    </row>
    <row r="514" ht="15" customHeight="1">
      <c r="A514" t="inlineStr">
        <is>
          <t>A 29745-2023</t>
        </is>
      </c>
      <c r="B514" s="1" t="n">
        <v>45107</v>
      </c>
      <c r="C514" s="1" t="n">
        <v>45210</v>
      </c>
      <c r="D514" t="inlineStr">
        <is>
          <t>DALARNAS LÄN</t>
        </is>
      </c>
      <c r="E514" t="inlineStr">
        <is>
          <t>ÄLVDALEN</t>
        </is>
      </c>
      <c r="F514" t="inlineStr">
        <is>
          <t>Sveaskog</t>
        </is>
      </c>
      <c r="G514" t="n">
        <v>4.9</v>
      </c>
      <c r="H514" t="n">
        <v>0</v>
      </c>
      <c r="I514" t="n">
        <v>0</v>
      </c>
      <c r="J514" t="n">
        <v>1</v>
      </c>
      <c r="K514" t="n">
        <v>0</v>
      </c>
      <c r="L514" t="n">
        <v>0</v>
      </c>
      <c r="M514" t="n">
        <v>0</v>
      </c>
      <c r="N514" t="n">
        <v>0</v>
      </c>
      <c r="O514" t="n">
        <v>1</v>
      </c>
      <c r="P514" t="n">
        <v>0</v>
      </c>
      <c r="Q514" t="n">
        <v>1</v>
      </c>
      <c r="R514" s="2" t="inlineStr">
        <is>
          <t>Orange taggsvamp</t>
        </is>
      </c>
      <c r="S514">
        <f>HYPERLINK("https://klasma.github.io/Logging_2039/artfynd/A 29745-2023.xlsx", "A 29745-2023")</f>
        <v/>
      </c>
      <c r="T514">
        <f>HYPERLINK("https://klasma.github.io/Logging_2039/kartor/A 29745-2023.png", "A 29745-2023")</f>
        <v/>
      </c>
      <c r="V514">
        <f>HYPERLINK("https://klasma.github.io/Logging_2039/klagomål/A 29745-2023.docx", "A 29745-2023")</f>
        <v/>
      </c>
      <c r="W514">
        <f>HYPERLINK("https://klasma.github.io/Logging_2039/klagomålsmail/A 29745-2023.docx", "A 29745-2023")</f>
        <v/>
      </c>
      <c r="X514">
        <f>HYPERLINK("https://klasma.github.io/Logging_2039/tillsyn/A 29745-2023.docx", "A 29745-2023")</f>
        <v/>
      </c>
      <c r="Y514">
        <f>HYPERLINK("https://klasma.github.io/Logging_2039/tillsynsmail/A 29745-2023.docx", "A 29745-2023")</f>
        <v/>
      </c>
    </row>
    <row r="515" ht="15" customHeight="1">
      <c r="A515" t="inlineStr">
        <is>
          <t>A 30906-2023</t>
        </is>
      </c>
      <c r="B515" s="1" t="n">
        <v>45113</v>
      </c>
      <c r="C515" s="1" t="n">
        <v>45210</v>
      </c>
      <c r="D515" t="inlineStr">
        <is>
          <t>DALARNAS LÄN</t>
        </is>
      </c>
      <c r="E515" t="inlineStr">
        <is>
          <t>MORA</t>
        </is>
      </c>
      <c r="G515" t="n">
        <v>3.1</v>
      </c>
      <c r="H515" t="n">
        <v>0</v>
      </c>
      <c r="I515" t="n">
        <v>0</v>
      </c>
      <c r="J515" t="n">
        <v>0</v>
      </c>
      <c r="K515" t="n">
        <v>1</v>
      </c>
      <c r="L515" t="n">
        <v>0</v>
      </c>
      <c r="M515" t="n">
        <v>0</v>
      </c>
      <c r="N515" t="n">
        <v>0</v>
      </c>
      <c r="O515" t="n">
        <v>1</v>
      </c>
      <c r="P515" t="n">
        <v>1</v>
      </c>
      <c r="Q515" t="n">
        <v>1</v>
      </c>
      <c r="R515" s="2" t="inlineStr">
        <is>
          <t>Jättemusseron</t>
        </is>
      </c>
      <c r="S515">
        <f>HYPERLINK("https://klasma.github.io/Logging_2062/artfynd/A 30906-2023.xlsx", "A 30906-2023")</f>
        <v/>
      </c>
      <c r="T515">
        <f>HYPERLINK("https://klasma.github.io/Logging_2062/kartor/A 30906-2023.png", "A 30906-2023")</f>
        <v/>
      </c>
      <c r="V515">
        <f>HYPERLINK("https://klasma.github.io/Logging_2062/klagomål/A 30906-2023.docx", "A 30906-2023")</f>
        <v/>
      </c>
      <c r="W515">
        <f>HYPERLINK("https://klasma.github.io/Logging_2062/klagomålsmail/A 30906-2023.docx", "A 30906-2023")</f>
        <v/>
      </c>
      <c r="X515">
        <f>HYPERLINK("https://klasma.github.io/Logging_2062/tillsyn/A 30906-2023.docx", "A 30906-2023")</f>
        <v/>
      </c>
      <c r="Y515">
        <f>HYPERLINK("https://klasma.github.io/Logging_2062/tillsynsmail/A 30906-2023.docx", "A 30906-2023")</f>
        <v/>
      </c>
    </row>
    <row r="516" ht="15" customHeight="1">
      <c r="A516" t="inlineStr">
        <is>
          <t>A 31620-2023</t>
        </is>
      </c>
      <c r="B516" s="1" t="n">
        <v>45117</v>
      </c>
      <c r="C516" s="1" t="n">
        <v>45210</v>
      </c>
      <c r="D516" t="inlineStr">
        <is>
          <t>DALARNAS LÄN</t>
        </is>
      </c>
      <c r="E516" t="inlineStr">
        <is>
          <t>FALUN</t>
        </is>
      </c>
      <c r="F516" t="inlineStr">
        <is>
          <t>Bergvik skog väst AB</t>
        </is>
      </c>
      <c r="G516" t="n">
        <v>4.6</v>
      </c>
      <c r="H516" t="n">
        <v>1</v>
      </c>
      <c r="I516" t="n">
        <v>0</v>
      </c>
      <c r="J516" t="n">
        <v>0</v>
      </c>
      <c r="K516" t="n">
        <v>1</v>
      </c>
      <c r="L516" t="n">
        <v>0</v>
      </c>
      <c r="M516" t="n">
        <v>0</v>
      </c>
      <c r="N516" t="n">
        <v>0</v>
      </c>
      <c r="O516" t="n">
        <v>1</v>
      </c>
      <c r="P516" t="n">
        <v>1</v>
      </c>
      <c r="Q516" t="n">
        <v>1</v>
      </c>
      <c r="R516" s="2" t="inlineStr">
        <is>
          <t>Knärot</t>
        </is>
      </c>
      <c r="S516">
        <f>HYPERLINK("https://klasma.github.io/Logging_2080/artfynd/A 31620-2023.xlsx", "A 31620-2023")</f>
        <v/>
      </c>
      <c r="T516">
        <f>HYPERLINK("https://klasma.github.io/Logging_2080/kartor/A 31620-2023.png", "A 31620-2023")</f>
        <v/>
      </c>
      <c r="U516">
        <f>HYPERLINK("https://klasma.github.io/Logging_2080/knärot/A 31620-2023.png", "A 31620-2023")</f>
        <v/>
      </c>
      <c r="V516">
        <f>HYPERLINK("https://klasma.github.io/Logging_2080/klagomål/A 31620-2023.docx", "A 31620-2023")</f>
        <v/>
      </c>
      <c r="W516">
        <f>HYPERLINK("https://klasma.github.io/Logging_2080/klagomålsmail/A 31620-2023.docx", "A 31620-2023")</f>
        <v/>
      </c>
      <c r="X516">
        <f>HYPERLINK("https://klasma.github.io/Logging_2080/tillsyn/A 31620-2023.docx", "A 31620-2023")</f>
        <v/>
      </c>
      <c r="Y516">
        <f>HYPERLINK("https://klasma.github.io/Logging_2080/tillsynsmail/A 31620-2023.docx", "A 31620-2023")</f>
        <v/>
      </c>
    </row>
    <row r="517" ht="15" customHeight="1">
      <c r="A517" t="inlineStr">
        <is>
          <t>A 33553-2023</t>
        </is>
      </c>
      <c r="B517" s="1" t="n">
        <v>45118</v>
      </c>
      <c r="C517" s="1" t="n">
        <v>45210</v>
      </c>
      <c r="D517" t="inlineStr">
        <is>
          <t>DALARNAS LÄN</t>
        </is>
      </c>
      <c r="E517" t="inlineStr">
        <is>
          <t>ÄLVDALEN</t>
        </is>
      </c>
      <c r="G517" t="n">
        <v>1.3</v>
      </c>
      <c r="H517" t="n">
        <v>0</v>
      </c>
      <c r="I517" t="n">
        <v>0</v>
      </c>
      <c r="J517" t="n">
        <v>1</v>
      </c>
      <c r="K517" t="n">
        <v>0</v>
      </c>
      <c r="L517" t="n">
        <v>0</v>
      </c>
      <c r="M517" t="n">
        <v>0</v>
      </c>
      <c r="N517" t="n">
        <v>0</v>
      </c>
      <c r="O517" t="n">
        <v>1</v>
      </c>
      <c r="P517" t="n">
        <v>0</v>
      </c>
      <c r="Q517" t="n">
        <v>1</v>
      </c>
      <c r="R517" s="2" t="inlineStr">
        <is>
          <t>Lunglav</t>
        </is>
      </c>
      <c r="S517">
        <f>HYPERLINK("https://klasma.github.io/Logging_2039/artfynd/A 33553-2023.xlsx", "A 33553-2023")</f>
        <v/>
      </c>
      <c r="T517">
        <f>HYPERLINK("https://klasma.github.io/Logging_2039/kartor/A 33553-2023.png", "A 33553-2023")</f>
        <v/>
      </c>
      <c r="V517">
        <f>HYPERLINK("https://klasma.github.io/Logging_2039/klagomål/A 33553-2023.docx", "A 33553-2023")</f>
        <v/>
      </c>
      <c r="W517">
        <f>HYPERLINK("https://klasma.github.io/Logging_2039/klagomålsmail/A 33553-2023.docx", "A 33553-2023")</f>
        <v/>
      </c>
      <c r="X517">
        <f>HYPERLINK("https://klasma.github.io/Logging_2039/tillsyn/A 33553-2023.docx", "A 33553-2023")</f>
        <v/>
      </c>
      <c r="Y517">
        <f>HYPERLINK("https://klasma.github.io/Logging_2039/tillsynsmail/A 33553-2023.docx", "A 33553-2023")</f>
        <v/>
      </c>
    </row>
    <row r="518" ht="15" customHeight="1">
      <c r="A518" t="inlineStr">
        <is>
          <t>A 33023-2023</t>
        </is>
      </c>
      <c r="B518" s="1" t="n">
        <v>45125</v>
      </c>
      <c r="C518" s="1" t="n">
        <v>45210</v>
      </c>
      <c r="D518" t="inlineStr">
        <is>
          <t>DALARNAS LÄN</t>
        </is>
      </c>
      <c r="E518" t="inlineStr">
        <is>
          <t>HEDEMORA</t>
        </is>
      </c>
      <c r="F518" t="inlineStr">
        <is>
          <t>Sveaskog</t>
        </is>
      </c>
      <c r="G518" t="n">
        <v>3.9</v>
      </c>
      <c r="H518" t="n">
        <v>1</v>
      </c>
      <c r="I518" t="n">
        <v>0</v>
      </c>
      <c r="J518" t="n">
        <v>0</v>
      </c>
      <c r="K518" t="n">
        <v>0</v>
      </c>
      <c r="L518" t="n">
        <v>0</v>
      </c>
      <c r="M518" t="n">
        <v>0</v>
      </c>
      <c r="N518" t="n">
        <v>0</v>
      </c>
      <c r="O518" t="n">
        <v>0</v>
      </c>
      <c r="P518" t="n">
        <v>0</v>
      </c>
      <c r="Q518" t="n">
        <v>1</v>
      </c>
      <c r="R518" s="2" t="inlineStr">
        <is>
          <t>Revlummer</t>
        </is>
      </c>
      <c r="S518">
        <f>HYPERLINK("https://klasma.github.io/Logging_2083/artfynd/A 33023-2023.xlsx", "A 33023-2023")</f>
        <v/>
      </c>
      <c r="T518">
        <f>HYPERLINK("https://klasma.github.io/Logging_2083/kartor/A 33023-2023.png", "A 33023-2023")</f>
        <v/>
      </c>
      <c r="V518">
        <f>HYPERLINK("https://klasma.github.io/Logging_2083/klagomål/A 33023-2023.docx", "A 33023-2023")</f>
        <v/>
      </c>
      <c r="W518">
        <f>HYPERLINK("https://klasma.github.io/Logging_2083/klagomålsmail/A 33023-2023.docx", "A 33023-2023")</f>
        <v/>
      </c>
      <c r="X518">
        <f>HYPERLINK("https://klasma.github.io/Logging_2083/tillsyn/A 33023-2023.docx", "A 33023-2023")</f>
        <v/>
      </c>
      <c r="Y518">
        <f>HYPERLINK("https://klasma.github.io/Logging_2083/tillsynsmail/A 33023-2023.docx", "A 33023-2023")</f>
        <v/>
      </c>
    </row>
    <row r="519" ht="15" customHeight="1">
      <c r="A519" t="inlineStr">
        <is>
          <t>A 33055-2023</t>
        </is>
      </c>
      <c r="B519" s="1" t="n">
        <v>45126</v>
      </c>
      <c r="C519" s="1" t="n">
        <v>45210</v>
      </c>
      <c r="D519" t="inlineStr">
        <is>
          <t>DALARNAS LÄN</t>
        </is>
      </c>
      <c r="E519" t="inlineStr">
        <is>
          <t>LUDVIKA</t>
        </is>
      </c>
      <c r="F519" t="inlineStr">
        <is>
          <t>Bergvik skog väst AB</t>
        </is>
      </c>
      <c r="G519" t="n">
        <v>6</v>
      </c>
      <c r="H519" t="n">
        <v>0</v>
      </c>
      <c r="I519" t="n">
        <v>1</v>
      </c>
      <c r="J519" t="n">
        <v>0</v>
      </c>
      <c r="K519" t="n">
        <v>0</v>
      </c>
      <c r="L519" t="n">
        <v>0</v>
      </c>
      <c r="M519" t="n">
        <v>0</v>
      </c>
      <c r="N519" t="n">
        <v>0</v>
      </c>
      <c r="O519" t="n">
        <v>0</v>
      </c>
      <c r="P519" t="n">
        <v>0</v>
      </c>
      <c r="Q519" t="n">
        <v>1</v>
      </c>
      <c r="R519" s="2" t="inlineStr">
        <is>
          <t>Vedticka</t>
        </is>
      </c>
      <c r="S519">
        <f>HYPERLINK("https://klasma.github.io/Logging_2085/artfynd/A 33055-2023.xlsx", "A 33055-2023")</f>
        <v/>
      </c>
      <c r="T519">
        <f>HYPERLINK("https://klasma.github.io/Logging_2085/kartor/A 33055-2023.png", "A 33055-2023")</f>
        <v/>
      </c>
      <c r="V519">
        <f>HYPERLINK("https://klasma.github.io/Logging_2085/klagomål/A 33055-2023.docx", "A 33055-2023")</f>
        <v/>
      </c>
      <c r="W519">
        <f>HYPERLINK("https://klasma.github.io/Logging_2085/klagomålsmail/A 33055-2023.docx", "A 33055-2023")</f>
        <v/>
      </c>
      <c r="X519">
        <f>HYPERLINK("https://klasma.github.io/Logging_2085/tillsyn/A 33055-2023.docx", "A 33055-2023")</f>
        <v/>
      </c>
      <c r="Y519">
        <f>HYPERLINK("https://klasma.github.io/Logging_2085/tillsynsmail/A 33055-2023.docx", "A 33055-2023")</f>
        <v/>
      </c>
    </row>
    <row r="520" ht="15" customHeight="1">
      <c r="A520" t="inlineStr">
        <is>
          <t>A 34194-2023</t>
        </is>
      </c>
      <c r="B520" s="1" t="n">
        <v>45138</v>
      </c>
      <c r="C520" s="1" t="n">
        <v>45210</v>
      </c>
      <c r="D520" t="inlineStr">
        <is>
          <t>DALARNAS LÄN</t>
        </is>
      </c>
      <c r="E520" t="inlineStr">
        <is>
          <t>MORA</t>
        </is>
      </c>
      <c r="G520" t="n">
        <v>8.699999999999999</v>
      </c>
      <c r="H520" t="n">
        <v>0</v>
      </c>
      <c r="I520" t="n">
        <v>0</v>
      </c>
      <c r="J520" t="n">
        <v>1</v>
      </c>
      <c r="K520" t="n">
        <v>0</v>
      </c>
      <c r="L520" t="n">
        <v>0</v>
      </c>
      <c r="M520" t="n">
        <v>0</v>
      </c>
      <c r="N520" t="n">
        <v>0</v>
      </c>
      <c r="O520" t="n">
        <v>1</v>
      </c>
      <c r="P520" t="n">
        <v>0</v>
      </c>
      <c r="Q520" t="n">
        <v>1</v>
      </c>
      <c r="R520" s="2" t="inlineStr">
        <is>
          <t>Motaggsvamp</t>
        </is>
      </c>
      <c r="S520">
        <f>HYPERLINK("https://klasma.github.io/Logging_2062/artfynd/A 34194-2023.xlsx", "A 34194-2023")</f>
        <v/>
      </c>
      <c r="T520">
        <f>HYPERLINK("https://klasma.github.io/Logging_2062/kartor/A 34194-2023.png", "A 34194-2023")</f>
        <v/>
      </c>
      <c r="V520">
        <f>HYPERLINK("https://klasma.github.io/Logging_2062/klagomål/A 34194-2023.docx", "A 34194-2023")</f>
        <v/>
      </c>
      <c r="W520">
        <f>HYPERLINK("https://klasma.github.io/Logging_2062/klagomålsmail/A 34194-2023.docx", "A 34194-2023")</f>
        <v/>
      </c>
      <c r="X520">
        <f>HYPERLINK("https://klasma.github.io/Logging_2062/tillsyn/A 34194-2023.docx", "A 34194-2023")</f>
        <v/>
      </c>
      <c r="Y520">
        <f>HYPERLINK("https://klasma.github.io/Logging_2062/tillsynsmail/A 34194-2023.docx", "A 34194-2023")</f>
        <v/>
      </c>
    </row>
    <row r="521" ht="15" customHeight="1">
      <c r="A521" t="inlineStr">
        <is>
          <t>A 34539-2023</t>
        </is>
      </c>
      <c r="B521" s="1" t="n">
        <v>45140</v>
      </c>
      <c r="C521" s="1" t="n">
        <v>45210</v>
      </c>
      <c r="D521" t="inlineStr">
        <is>
          <t>DALARNAS LÄN</t>
        </is>
      </c>
      <c r="E521" t="inlineStr">
        <is>
          <t>LUDVIKA</t>
        </is>
      </c>
      <c r="F521" t="inlineStr">
        <is>
          <t>Bergvik skog väst AB</t>
        </is>
      </c>
      <c r="G521" t="n">
        <v>6.1</v>
      </c>
      <c r="H521" t="n">
        <v>1</v>
      </c>
      <c r="I521" t="n">
        <v>0</v>
      </c>
      <c r="J521" t="n">
        <v>0</v>
      </c>
      <c r="K521" t="n">
        <v>0</v>
      </c>
      <c r="L521" t="n">
        <v>0</v>
      </c>
      <c r="M521" t="n">
        <v>0</v>
      </c>
      <c r="N521" t="n">
        <v>0</v>
      </c>
      <c r="O521" t="n">
        <v>0</v>
      </c>
      <c r="P521" t="n">
        <v>0</v>
      </c>
      <c r="Q521" t="n">
        <v>1</v>
      </c>
      <c r="R521" s="2" t="inlineStr">
        <is>
          <t>Gullviva</t>
        </is>
      </c>
      <c r="S521">
        <f>HYPERLINK("https://klasma.github.io/Logging_2085/artfynd/A 34539-2023.xlsx", "A 34539-2023")</f>
        <v/>
      </c>
      <c r="T521">
        <f>HYPERLINK("https://klasma.github.io/Logging_2085/kartor/A 34539-2023.png", "A 34539-2023")</f>
        <v/>
      </c>
      <c r="V521">
        <f>HYPERLINK("https://klasma.github.io/Logging_2085/klagomål/A 34539-2023.docx", "A 34539-2023")</f>
        <v/>
      </c>
      <c r="W521">
        <f>HYPERLINK("https://klasma.github.io/Logging_2085/klagomålsmail/A 34539-2023.docx", "A 34539-2023")</f>
        <v/>
      </c>
      <c r="X521">
        <f>HYPERLINK("https://klasma.github.io/Logging_2085/tillsyn/A 34539-2023.docx", "A 34539-2023")</f>
        <v/>
      </c>
      <c r="Y521">
        <f>HYPERLINK("https://klasma.github.io/Logging_2085/tillsynsmail/A 34539-2023.docx", "A 34539-2023")</f>
        <v/>
      </c>
    </row>
    <row r="522" ht="15" customHeight="1">
      <c r="A522" t="inlineStr">
        <is>
          <t>A 35112-2023</t>
        </is>
      </c>
      <c r="B522" s="1" t="n">
        <v>45145</v>
      </c>
      <c r="C522" s="1" t="n">
        <v>45210</v>
      </c>
      <c r="D522" t="inlineStr">
        <is>
          <t>DALARNAS LÄN</t>
        </is>
      </c>
      <c r="E522" t="inlineStr">
        <is>
          <t>ORSA</t>
        </is>
      </c>
      <c r="F522" t="inlineStr">
        <is>
          <t>Allmännings- och besparingsskogar</t>
        </is>
      </c>
      <c r="G522" t="n">
        <v>6.9</v>
      </c>
      <c r="H522" t="n">
        <v>0</v>
      </c>
      <c r="I522" t="n">
        <v>0</v>
      </c>
      <c r="J522" t="n">
        <v>1</v>
      </c>
      <c r="K522" t="n">
        <v>0</v>
      </c>
      <c r="L522" t="n">
        <v>0</v>
      </c>
      <c r="M522" t="n">
        <v>0</v>
      </c>
      <c r="N522" t="n">
        <v>0</v>
      </c>
      <c r="O522" t="n">
        <v>1</v>
      </c>
      <c r="P522" t="n">
        <v>0</v>
      </c>
      <c r="Q522" t="n">
        <v>1</v>
      </c>
      <c r="R522" s="2" t="inlineStr">
        <is>
          <t>Skrovellav</t>
        </is>
      </c>
      <c r="S522">
        <f>HYPERLINK("https://klasma.github.io/Logging_2034/artfynd/A 35112-2023.xlsx", "A 35112-2023")</f>
        <v/>
      </c>
      <c r="T522">
        <f>HYPERLINK("https://klasma.github.io/Logging_2034/kartor/A 35112-2023.png", "A 35112-2023")</f>
        <v/>
      </c>
      <c r="V522">
        <f>HYPERLINK("https://klasma.github.io/Logging_2034/klagomål/A 35112-2023.docx", "A 35112-2023")</f>
        <v/>
      </c>
      <c r="W522">
        <f>HYPERLINK("https://klasma.github.io/Logging_2034/klagomålsmail/A 35112-2023.docx", "A 35112-2023")</f>
        <v/>
      </c>
      <c r="X522">
        <f>HYPERLINK("https://klasma.github.io/Logging_2034/tillsyn/A 35112-2023.docx", "A 35112-2023")</f>
        <v/>
      </c>
      <c r="Y522">
        <f>HYPERLINK("https://klasma.github.io/Logging_2034/tillsynsmail/A 35112-2023.docx", "A 35112-2023")</f>
        <v/>
      </c>
    </row>
    <row r="523" ht="15" customHeight="1">
      <c r="A523" t="inlineStr">
        <is>
          <t>A 35185-2023</t>
        </is>
      </c>
      <c r="B523" s="1" t="n">
        <v>45145</v>
      </c>
      <c r="C523" s="1" t="n">
        <v>45210</v>
      </c>
      <c r="D523" t="inlineStr">
        <is>
          <t>DALARNAS LÄN</t>
        </is>
      </c>
      <c r="E523" t="inlineStr">
        <is>
          <t>ÄLVDALEN</t>
        </is>
      </c>
      <c r="F523" t="inlineStr">
        <is>
          <t>Sveaskog</t>
        </is>
      </c>
      <c r="G523" t="n">
        <v>1.4</v>
      </c>
      <c r="H523" t="n">
        <v>0</v>
      </c>
      <c r="I523" t="n">
        <v>0</v>
      </c>
      <c r="J523" t="n">
        <v>1</v>
      </c>
      <c r="K523" t="n">
        <v>0</v>
      </c>
      <c r="L523" t="n">
        <v>0</v>
      </c>
      <c r="M523" t="n">
        <v>0</v>
      </c>
      <c r="N523" t="n">
        <v>0</v>
      </c>
      <c r="O523" t="n">
        <v>1</v>
      </c>
      <c r="P523" t="n">
        <v>0</v>
      </c>
      <c r="Q523" t="n">
        <v>1</v>
      </c>
      <c r="R523" s="2" t="inlineStr">
        <is>
          <t>Kolflarnlav</t>
        </is>
      </c>
      <c r="S523">
        <f>HYPERLINK("https://klasma.github.io/Logging_2039/artfynd/A 35185-2023.xlsx", "A 35185-2023")</f>
        <v/>
      </c>
      <c r="T523">
        <f>HYPERLINK("https://klasma.github.io/Logging_2039/kartor/A 35185-2023.png", "A 35185-2023")</f>
        <v/>
      </c>
      <c r="V523">
        <f>HYPERLINK("https://klasma.github.io/Logging_2039/klagomål/A 35185-2023.docx", "A 35185-2023")</f>
        <v/>
      </c>
      <c r="W523">
        <f>HYPERLINK("https://klasma.github.io/Logging_2039/klagomålsmail/A 35185-2023.docx", "A 35185-2023")</f>
        <v/>
      </c>
      <c r="X523">
        <f>HYPERLINK("https://klasma.github.io/Logging_2039/tillsyn/A 35185-2023.docx", "A 35185-2023")</f>
        <v/>
      </c>
      <c r="Y523">
        <f>HYPERLINK("https://klasma.github.io/Logging_2039/tillsynsmail/A 35185-2023.docx", "A 35185-2023")</f>
        <v/>
      </c>
    </row>
    <row r="524" ht="15" customHeight="1">
      <c r="A524" t="inlineStr">
        <is>
          <t>A 35321-2023</t>
        </is>
      </c>
      <c r="B524" s="1" t="n">
        <v>45146</v>
      </c>
      <c r="C524" s="1" t="n">
        <v>45210</v>
      </c>
      <c r="D524" t="inlineStr">
        <is>
          <t>DALARNAS LÄN</t>
        </is>
      </c>
      <c r="E524" t="inlineStr">
        <is>
          <t>HEDEMORA</t>
        </is>
      </c>
      <c r="G524" t="n">
        <v>3.5</v>
      </c>
      <c r="H524" t="n">
        <v>1</v>
      </c>
      <c r="I524" t="n">
        <v>0</v>
      </c>
      <c r="J524" t="n">
        <v>1</v>
      </c>
      <c r="K524" t="n">
        <v>0</v>
      </c>
      <c r="L524" t="n">
        <v>0</v>
      </c>
      <c r="M524" t="n">
        <v>0</v>
      </c>
      <c r="N524" t="n">
        <v>0</v>
      </c>
      <c r="O524" t="n">
        <v>1</v>
      </c>
      <c r="P524" t="n">
        <v>0</v>
      </c>
      <c r="Q524" t="n">
        <v>1</v>
      </c>
      <c r="R524" s="2" t="inlineStr">
        <is>
          <t>Havsörn</t>
        </is>
      </c>
      <c r="S524">
        <f>HYPERLINK("https://klasma.github.io/Logging_2083/artfynd/A 35321-2023.xlsx", "A 35321-2023")</f>
        <v/>
      </c>
      <c r="T524">
        <f>HYPERLINK("https://klasma.github.io/Logging_2083/kartor/A 35321-2023.png", "A 35321-2023")</f>
        <v/>
      </c>
      <c r="V524">
        <f>HYPERLINK("https://klasma.github.io/Logging_2083/klagomål/A 35321-2023.docx", "A 35321-2023")</f>
        <v/>
      </c>
      <c r="W524">
        <f>HYPERLINK("https://klasma.github.io/Logging_2083/klagomålsmail/A 35321-2023.docx", "A 35321-2023")</f>
        <v/>
      </c>
      <c r="X524">
        <f>HYPERLINK("https://klasma.github.io/Logging_2083/tillsyn/A 35321-2023.docx", "A 35321-2023")</f>
        <v/>
      </c>
      <c r="Y524">
        <f>HYPERLINK("https://klasma.github.io/Logging_2083/tillsynsmail/A 35321-2023.docx", "A 35321-2023")</f>
        <v/>
      </c>
    </row>
    <row r="525" ht="15" customHeight="1">
      <c r="A525" t="inlineStr">
        <is>
          <t>A 35382-2023</t>
        </is>
      </c>
      <c r="B525" s="1" t="n">
        <v>45146</v>
      </c>
      <c r="C525" s="1" t="n">
        <v>45210</v>
      </c>
      <c r="D525" t="inlineStr">
        <is>
          <t>DALARNAS LÄN</t>
        </is>
      </c>
      <c r="E525" t="inlineStr">
        <is>
          <t>GAGNEF</t>
        </is>
      </c>
      <c r="G525" t="n">
        <v>4.1</v>
      </c>
      <c r="H525" t="n">
        <v>0</v>
      </c>
      <c r="I525" t="n">
        <v>1</v>
      </c>
      <c r="J525" t="n">
        <v>0</v>
      </c>
      <c r="K525" t="n">
        <v>0</v>
      </c>
      <c r="L525" t="n">
        <v>0</v>
      </c>
      <c r="M525" t="n">
        <v>0</v>
      </c>
      <c r="N525" t="n">
        <v>0</v>
      </c>
      <c r="O525" t="n">
        <v>0</v>
      </c>
      <c r="P525" t="n">
        <v>0</v>
      </c>
      <c r="Q525" t="n">
        <v>1</v>
      </c>
      <c r="R525" s="2" t="inlineStr">
        <is>
          <t>Nästlav</t>
        </is>
      </c>
      <c r="S525">
        <f>HYPERLINK("https://klasma.github.io/Logging_2026/artfynd/A 35382-2023.xlsx", "A 35382-2023")</f>
        <v/>
      </c>
      <c r="T525">
        <f>HYPERLINK("https://klasma.github.io/Logging_2026/kartor/A 35382-2023.png", "A 35382-2023")</f>
        <v/>
      </c>
      <c r="V525">
        <f>HYPERLINK("https://klasma.github.io/Logging_2026/klagomål/A 35382-2023.docx", "A 35382-2023")</f>
        <v/>
      </c>
      <c r="W525">
        <f>HYPERLINK("https://klasma.github.io/Logging_2026/klagomålsmail/A 35382-2023.docx", "A 35382-2023")</f>
        <v/>
      </c>
      <c r="X525">
        <f>HYPERLINK("https://klasma.github.io/Logging_2026/tillsyn/A 35382-2023.docx", "A 35382-2023")</f>
        <v/>
      </c>
      <c r="Y525">
        <f>HYPERLINK("https://klasma.github.io/Logging_2026/tillsynsmail/A 35382-2023.docx", "A 35382-2023")</f>
        <v/>
      </c>
    </row>
    <row r="526" ht="15" customHeight="1">
      <c r="A526" t="inlineStr">
        <is>
          <t>A 37654-2023</t>
        </is>
      </c>
      <c r="B526" s="1" t="n">
        <v>45159</v>
      </c>
      <c r="C526" s="1" t="n">
        <v>45210</v>
      </c>
      <c r="D526" t="inlineStr">
        <is>
          <t>DALARNAS LÄN</t>
        </is>
      </c>
      <c r="E526" t="inlineStr">
        <is>
          <t>HEDEMORA</t>
        </is>
      </c>
      <c r="G526" t="n">
        <v>6.2</v>
      </c>
      <c r="H526" t="n">
        <v>1</v>
      </c>
      <c r="I526" t="n">
        <v>0</v>
      </c>
      <c r="J526" t="n">
        <v>0</v>
      </c>
      <c r="K526" t="n">
        <v>1</v>
      </c>
      <c r="L526" t="n">
        <v>0</v>
      </c>
      <c r="M526" t="n">
        <v>0</v>
      </c>
      <c r="N526" t="n">
        <v>0</v>
      </c>
      <c r="O526" t="n">
        <v>1</v>
      </c>
      <c r="P526" t="n">
        <v>1</v>
      </c>
      <c r="Q526" t="n">
        <v>1</v>
      </c>
      <c r="R526" s="2" t="inlineStr">
        <is>
          <t>Knärot</t>
        </is>
      </c>
      <c r="S526">
        <f>HYPERLINK("https://klasma.github.io/Logging_2083/artfynd/A 37654-2023.xlsx", "A 37654-2023")</f>
        <v/>
      </c>
      <c r="T526">
        <f>HYPERLINK("https://klasma.github.io/Logging_2083/kartor/A 37654-2023.png", "A 37654-2023")</f>
        <v/>
      </c>
      <c r="U526">
        <f>HYPERLINK("https://klasma.github.io/Logging_2083/knärot/A 37654-2023.png", "A 37654-2023")</f>
        <v/>
      </c>
      <c r="V526">
        <f>HYPERLINK("https://klasma.github.io/Logging_2083/klagomål/A 37654-2023.docx", "A 37654-2023")</f>
        <v/>
      </c>
      <c r="W526">
        <f>HYPERLINK("https://klasma.github.io/Logging_2083/klagomålsmail/A 37654-2023.docx", "A 37654-2023")</f>
        <v/>
      </c>
      <c r="X526">
        <f>HYPERLINK("https://klasma.github.io/Logging_2083/tillsyn/A 37654-2023.docx", "A 37654-2023")</f>
        <v/>
      </c>
      <c r="Y526">
        <f>HYPERLINK("https://klasma.github.io/Logging_2083/tillsynsmail/A 37654-2023.docx", "A 37654-2023")</f>
        <v/>
      </c>
    </row>
    <row r="527" ht="15" customHeight="1">
      <c r="A527" t="inlineStr">
        <is>
          <t>A 37887-2023</t>
        </is>
      </c>
      <c r="B527" s="1" t="n">
        <v>45160</v>
      </c>
      <c r="C527" s="1" t="n">
        <v>45210</v>
      </c>
      <c r="D527" t="inlineStr">
        <is>
          <t>DALARNAS LÄN</t>
        </is>
      </c>
      <c r="E527" t="inlineStr">
        <is>
          <t>ORSA</t>
        </is>
      </c>
      <c r="F527" t="inlineStr">
        <is>
          <t>Allmännings- och besparingsskogar</t>
        </is>
      </c>
      <c r="G527" t="n">
        <v>20.5</v>
      </c>
      <c r="H527" t="n">
        <v>1</v>
      </c>
      <c r="I527" t="n">
        <v>0</v>
      </c>
      <c r="J527" t="n">
        <v>1</v>
      </c>
      <c r="K527" t="n">
        <v>0</v>
      </c>
      <c r="L527" t="n">
        <v>0</v>
      </c>
      <c r="M527" t="n">
        <v>0</v>
      </c>
      <c r="N527" t="n">
        <v>0</v>
      </c>
      <c r="O527" t="n">
        <v>1</v>
      </c>
      <c r="P527" t="n">
        <v>0</v>
      </c>
      <c r="Q527" t="n">
        <v>1</v>
      </c>
      <c r="R527" s="2" t="inlineStr">
        <is>
          <t>Varglav</t>
        </is>
      </c>
      <c r="S527">
        <f>HYPERLINK("https://klasma.github.io/Logging_2034/artfynd/A 37887-2023.xlsx", "A 37887-2023")</f>
        <v/>
      </c>
      <c r="T527">
        <f>HYPERLINK("https://klasma.github.io/Logging_2034/kartor/A 37887-2023.png", "A 37887-2023")</f>
        <v/>
      </c>
      <c r="V527">
        <f>HYPERLINK("https://klasma.github.io/Logging_2034/klagomål/A 37887-2023.docx", "A 37887-2023")</f>
        <v/>
      </c>
      <c r="W527">
        <f>HYPERLINK("https://klasma.github.io/Logging_2034/klagomålsmail/A 37887-2023.docx", "A 37887-2023")</f>
        <v/>
      </c>
      <c r="X527">
        <f>HYPERLINK("https://klasma.github.io/Logging_2034/tillsyn/A 37887-2023.docx", "A 37887-2023")</f>
        <v/>
      </c>
      <c r="Y527">
        <f>HYPERLINK("https://klasma.github.io/Logging_2034/tillsynsmail/A 37887-2023.docx", "A 37887-2023")</f>
        <v/>
      </c>
    </row>
    <row r="528" ht="15" customHeight="1">
      <c r="A528" t="inlineStr">
        <is>
          <t>A 43454-2023</t>
        </is>
      </c>
      <c r="B528" s="1" t="n">
        <v>45184</v>
      </c>
      <c r="C528" s="1" t="n">
        <v>45210</v>
      </c>
      <c r="D528" t="inlineStr">
        <is>
          <t>DALARNAS LÄN</t>
        </is>
      </c>
      <c r="E528" t="inlineStr">
        <is>
          <t>AVESTA</t>
        </is>
      </c>
      <c r="G528" t="n">
        <v>3.3</v>
      </c>
      <c r="H528" t="n">
        <v>1</v>
      </c>
      <c r="I528" t="n">
        <v>0</v>
      </c>
      <c r="J528" t="n">
        <v>1</v>
      </c>
      <c r="K528" t="n">
        <v>0</v>
      </c>
      <c r="L528" t="n">
        <v>0</v>
      </c>
      <c r="M528" t="n">
        <v>0</v>
      </c>
      <c r="N528" t="n">
        <v>0</v>
      </c>
      <c r="O528" t="n">
        <v>1</v>
      </c>
      <c r="P528" t="n">
        <v>0</v>
      </c>
      <c r="Q528" t="n">
        <v>1</v>
      </c>
      <c r="R528" s="2" t="inlineStr">
        <is>
          <t>Havsörn</t>
        </is>
      </c>
      <c r="S528">
        <f>HYPERLINK("https://klasma.github.io/Logging_2084/artfynd/A 43454-2023.xlsx", "A 43454-2023")</f>
        <v/>
      </c>
      <c r="T528">
        <f>HYPERLINK("https://klasma.github.io/Logging_2084/kartor/A 43454-2023.png", "A 43454-2023")</f>
        <v/>
      </c>
      <c r="V528">
        <f>HYPERLINK("https://klasma.github.io/Logging_2084/klagomål/A 43454-2023.docx", "A 43454-2023")</f>
        <v/>
      </c>
      <c r="W528">
        <f>HYPERLINK("https://klasma.github.io/Logging_2084/klagomålsmail/A 43454-2023.docx", "A 43454-2023")</f>
        <v/>
      </c>
      <c r="X528">
        <f>HYPERLINK("https://klasma.github.io/Logging_2084/tillsyn/A 43454-2023.docx", "A 43454-2023")</f>
        <v/>
      </c>
      <c r="Y528">
        <f>HYPERLINK("https://klasma.github.io/Logging_2084/tillsynsmail/A 43454-2023.docx", "A 43454-2023")</f>
        <v/>
      </c>
    </row>
    <row r="529" ht="15" customHeight="1">
      <c r="A529" t="inlineStr">
        <is>
          <t>A 44725-2023</t>
        </is>
      </c>
      <c r="B529" s="1" t="n">
        <v>45190</v>
      </c>
      <c r="C529" s="1" t="n">
        <v>45210</v>
      </c>
      <c r="D529" t="inlineStr">
        <is>
          <t>DALARNAS LÄN</t>
        </is>
      </c>
      <c r="E529" t="inlineStr">
        <is>
          <t>FALUN</t>
        </is>
      </c>
      <c r="F529" t="inlineStr">
        <is>
          <t>Bergvik skog väst AB</t>
        </is>
      </c>
      <c r="G529" t="n">
        <v>3.2</v>
      </c>
      <c r="H529" t="n">
        <v>1</v>
      </c>
      <c r="I529" t="n">
        <v>1</v>
      </c>
      <c r="J529" t="n">
        <v>0</v>
      </c>
      <c r="K529" t="n">
        <v>0</v>
      </c>
      <c r="L529" t="n">
        <v>0</v>
      </c>
      <c r="M529" t="n">
        <v>0</v>
      </c>
      <c r="N529" t="n">
        <v>0</v>
      </c>
      <c r="O529" t="n">
        <v>0</v>
      </c>
      <c r="P529" t="n">
        <v>0</v>
      </c>
      <c r="Q529" t="n">
        <v>1</v>
      </c>
      <c r="R529" s="2" t="inlineStr">
        <is>
          <t>Plattlummer</t>
        </is>
      </c>
      <c r="S529">
        <f>HYPERLINK("https://klasma.github.io/Logging_2080/artfynd/A 44725-2023.xlsx", "A 44725-2023")</f>
        <v/>
      </c>
      <c r="T529">
        <f>HYPERLINK("https://klasma.github.io/Logging_2080/kartor/A 44725-2023.png", "A 44725-2023")</f>
        <v/>
      </c>
      <c r="V529">
        <f>HYPERLINK("https://klasma.github.io/Logging_2080/klagomål/A 44725-2023.docx", "A 44725-2023")</f>
        <v/>
      </c>
      <c r="W529">
        <f>HYPERLINK("https://klasma.github.io/Logging_2080/klagomålsmail/A 44725-2023.docx", "A 44725-2023")</f>
        <v/>
      </c>
      <c r="X529">
        <f>HYPERLINK("https://klasma.github.io/Logging_2080/tillsyn/A 44725-2023.docx", "A 44725-2023")</f>
        <v/>
      </c>
      <c r="Y529">
        <f>HYPERLINK("https://klasma.github.io/Logging_2080/tillsynsmail/A 44725-2023.docx", "A 44725-2023")</f>
        <v/>
      </c>
    </row>
    <row r="530" ht="15" customHeight="1">
      <c r="A530" t="inlineStr">
        <is>
          <t>A 46179-2023</t>
        </is>
      </c>
      <c r="B530" s="1" t="n">
        <v>45196</v>
      </c>
      <c r="C530" s="1" t="n">
        <v>45210</v>
      </c>
      <c r="D530" t="inlineStr">
        <is>
          <t>DALARNAS LÄN</t>
        </is>
      </c>
      <c r="E530" t="inlineStr">
        <is>
          <t>ORSA</t>
        </is>
      </c>
      <c r="G530" t="n">
        <v>4.1</v>
      </c>
      <c r="H530" t="n">
        <v>0</v>
      </c>
      <c r="I530" t="n">
        <v>1</v>
      </c>
      <c r="J530" t="n">
        <v>0</v>
      </c>
      <c r="K530" t="n">
        <v>0</v>
      </c>
      <c r="L530" t="n">
        <v>0</v>
      </c>
      <c r="M530" t="n">
        <v>0</v>
      </c>
      <c r="N530" t="n">
        <v>0</v>
      </c>
      <c r="O530" t="n">
        <v>0</v>
      </c>
      <c r="P530" t="n">
        <v>0</v>
      </c>
      <c r="Q530" t="n">
        <v>1</v>
      </c>
      <c r="R530" s="2" t="inlineStr">
        <is>
          <t>Dropptaggsvamp</t>
        </is>
      </c>
      <c r="S530">
        <f>HYPERLINK("https://klasma.github.io/Logging_2034/artfynd/A 46179-2023.xlsx", "A 46179-2023")</f>
        <v/>
      </c>
      <c r="T530">
        <f>HYPERLINK("https://klasma.github.io/Logging_2034/kartor/A 46179-2023.png", "A 46179-2023")</f>
        <v/>
      </c>
      <c r="V530">
        <f>HYPERLINK("https://klasma.github.io/Logging_2034/klagomål/A 46179-2023.docx", "A 46179-2023")</f>
        <v/>
      </c>
      <c r="W530">
        <f>HYPERLINK("https://klasma.github.io/Logging_2034/klagomålsmail/A 46179-2023.docx", "A 46179-2023")</f>
        <v/>
      </c>
      <c r="X530">
        <f>HYPERLINK("https://klasma.github.io/Logging_2034/tillsyn/A 46179-2023.docx", "A 46179-2023")</f>
        <v/>
      </c>
      <c r="Y530">
        <f>HYPERLINK("https://klasma.github.io/Logging_2034/tillsynsmail/A 46179-2023.docx", "A 46179-2023")</f>
        <v/>
      </c>
    </row>
    <row r="531" ht="15" customHeight="1">
      <c r="A531" t="inlineStr">
        <is>
          <t>A 46963-2023</t>
        </is>
      </c>
      <c r="B531" s="1" t="n">
        <v>45201</v>
      </c>
      <c r="C531" s="1" t="n">
        <v>45210</v>
      </c>
      <c r="D531" t="inlineStr">
        <is>
          <t>DALARNAS LÄN</t>
        </is>
      </c>
      <c r="E531" t="inlineStr">
        <is>
          <t>FALUN</t>
        </is>
      </c>
      <c r="G531" t="n">
        <v>13.6</v>
      </c>
      <c r="H531" t="n">
        <v>1</v>
      </c>
      <c r="I531" t="n">
        <v>0</v>
      </c>
      <c r="J531" t="n">
        <v>1</v>
      </c>
      <c r="K531" t="n">
        <v>0</v>
      </c>
      <c r="L531" t="n">
        <v>0</v>
      </c>
      <c r="M531" t="n">
        <v>0</v>
      </c>
      <c r="N531" t="n">
        <v>0</v>
      </c>
      <c r="O531" t="n">
        <v>1</v>
      </c>
      <c r="P531" t="n">
        <v>0</v>
      </c>
      <c r="Q531" t="n">
        <v>1</v>
      </c>
      <c r="R531" s="2" t="inlineStr">
        <is>
          <t>Talltita</t>
        </is>
      </c>
      <c r="S531">
        <f>HYPERLINK("https://klasma.github.io/Logging_2080/artfynd/A 46963-2023.xlsx", "A 46963-2023")</f>
        <v/>
      </c>
      <c r="T531">
        <f>HYPERLINK("https://klasma.github.io/Logging_2080/kartor/A 46963-2023.png", "A 46963-2023")</f>
        <v/>
      </c>
      <c r="V531">
        <f>HYPERLINK("https://klasma.github.io/Logging_2080/klagomål/A 46963-2023.docx", "A 46963-2023")</f>
        <v/>
      </c>
      <c r="W531">
        <f>HYPERLINK("https://klasma.github.io/Logging_2080/klagomålsmail/A 46963-2023.docx", "A 46963-2023")</f>
        <v/>
      </c>
      <c r="X531">
        <f>HYPERLINK("https://klasma.github.io/Logging_2080/tillsyn/A 46963-2023.docx", "A 46963-2023")</f>
        <v/>
      </c>
      <c r="Y531">
        <f>HYPERLINK("https://klasma.github.io/Logging_2080/tillsynsmail/A 46963-2023.docx", "A 46963-2023")</f>
        <v/>
      </c>
    </row>
    <row r="532" ht="15" customHeight="1">
      <c r="A532" t="inlineStr">
        <is>
          <t>A 33987-2018</t>
        </is>
      </c>
      <c r="B532" s="1" t="n">
        <v>43314</v>
      </c>
      <c r="C532" s="1" t="n">
        <v>45210</v>
      </c>
      <c r="D532" t="inlineStr">
        <is>
          <t>DALARNAS LÄN</t>
        </is>
      </c>
      <c r="E532" t="inlineStr">
        <is>
          <t>FALUN</t>
        </is>
      </c>
      <c r="G532" t="n">
        <v>3.9</v>
      </c>
      <c r="H532" t="n">
        <v>0</v>
      </c>
      <c r="I532" t="n">
        <v>0</v>
      </c>
      <c r="J532" t="n">
        <v>0</v>
      </c>
      <c r="K532" t="n">
        <v>0</v>
      </c>
      <c r="L532" t="n">
        <v>0</v>
      </c>
      <c r="M532" t="n">
        <v>0</v>
      </c>
      <c r="N532" t="n">
        <v>0</v>
      </c>
      <c r="O532" t="n">
        <v>0</v>
      </c>
      <c r="P532" t="n">
        <v>0</v>
      </c>
      <c r="Q532" t="n">
        <v>0</v>
      </c>
      <c r="R532" s="2" t="inlineStr"/>
    </row>
    <row r="533" ht="15" customHeight="1">
      <c r="A533" t="inlineStr">
        <is>
          <t>A 34217-2018</t>
        </is>
      </c>
      <c r="B533" s="1" t="n">
        <v>43318</v>
      </c>
      <c r="C533" s="1" t="n">
        <v>45210</v>
      </c>
      <c r="D533" t="inlineStr">
        <is>
          <t>DALARNAS LÄN</t>
        </is>
      </c>
      <c r="E533" t="inlineStr">
        <is>
          <t>MALUNG-SÄLEN</t>
        </is>
      </c>
      <c r="F533" t="inlineStr">
        <is>
          <t>Allmännings- och besparingsskogar</t>
        </is>
      </c>
      <c r="G533" t="n">
        <v>16.6</v>
      </c>
      <c r="H533" t="n">
        <v>0</v>
      </c>
      <c r="I533" t="n">
        <v>0</v>
      </c>
      <c r="J533" t="n">
        <v>0</v>
      </c>
      <c r="K533" t="n">
        <v>0</v>
      </c>
      <c r="L533" t="n">
        <v>0</v>
      </c>
      <c r="M533" t="n">
        <v>0</v>
      </c>
      <c r="N533" t="n">
        <v>0</v>
      </c>
      <c r="O533" t="n">
        <v>0</v>
      </c>
      <c r="P533" t="n">
        <v>0</v>
      </c>
      <c r="Q533" t="n">
        <v>0</v>
      </c>
      <c r="R533" s="2" t="inlineStr"/>
    </row>
    <row r="534" ht="15" customHeight="1">
      <c r="A534" t="inlineStr">
        <is>
          <t>A 34219-2018</t>
        </is>
      </c>
      <c r="B534" s="1" t="n">
        <v>43318</v>
      </c>
      <c r="C534" s="1" t="n">
        <v>45210</v>
      </c>
      <c r="D534" t="inlineStr">
        <is>
          <t>DALARNAS LÄN</t>
        </is>
      </c>
      <c r="E534" t="inlineStr">
        <is>
          <t>LEKSAND</t>
        </is>
      </c>
      <c r="G534" t="n">
        <v>0.6</v>
      </c>
      <c r="H534" t="n">
        <v>0</v>
      </c>
      <c r="I534" t="n">
        <v>0</v>
      </c>
      <c r="J534" t="n">
        <v>0</v>
      </c>
      <c r="K534" t="n">
        <v>0</v>
      </c>
      <c r="L534" t="n">
        <v>0</v>
      </c>
      <c r="M534" t="n">
        <v>0</v>
      </c>
      <c r="N534" t="n">
        <v>0</v>
      </c>
      <c r="O534" t="n">
        <v>0</v>
      </c>
      <c r="P534" t="n">
        <v>0</v>
      </c>
      <c r="Q534" t="n">
        <v>0</v>
      </c>
      <c r="R534" s="2" t="inlineStr"/>
    </row>
    <row r="535" ht="15" customHeight="1">
      <c r="A535" t="inlineStr">
        <is>
          <t>A 34258-2018</t>
        </is>
      </c>
      <c r="B535" s="1" t="n">
        <v>43318</v>
      </c>
      <c r="C535" s="1" t="n">
        <v>45210</v>
      </c>
      <c r="D535" t="inlineStr">
        <is>
          <t>DALARNAS LÄN</t>
        </is>
      </c>
      <c r="E535" t="inlineStr">
        <is>
          <t>AVESTA</t>
        </is>
      </c>
      <c r="G535" t="n">
        <v>7.5</v>
      </c>
      <c r="H535" t="n">
        <v>0</v>
      </c>
      <c r="I535" t="n">
        <v>0</v>
      </c>
      <c r="J535" t="n">
        <v>0</v>
      </c>
      <c r="K535" t="n">
        <v>0</v>
      </c>
      <c r="L535" t="n">
        <v>0</v>
      </c>
      <c r="M535" t="n">
        <v>0</v>
      </c>
      <c r="N535" t="n">
        <v>0</v>
      </c>
      <c r="O535" t="n">
        <v>0</v>
      </c>
      <c r="P535" t="n">
        <v>0</v>
      </c>
      <c r="Q535" t="n">
        <v>0</v>
      </c>
      <c r="R535" s="2" t="inlineStr"/>
    </row>
    <row r="536" ht="15" customHeight="1">
      <c r="A536" t="inlineStr">
        <is>
          <t>A 34220-2018</t>
        </is>
      </c>
      <c r="B536" s="1" t="n">
        <v>43318</v>
      </c>
      <c r="C536" s="1" t="n">
        <v>45210</v>
      </c>
      <c r="D536" t="inlineStr">
        <is>
          <t>DALARNAS LÄN</t>
        </is>
      </c>
      <c r="E536" t="inlineStr">
        <is>
          <t>LEKSAND</t>
        </is>
      </c>
      <c r="G536" t="n">
        <v>0.8</v>
      </c>
      <c r="H536" t="n">
        <v>0</v>
      </c>
      <c r="I536" t="n">
        <v>0</v>
      </c>
      <c r="J536" t="n">
        <v>0</v>
      </c>
      <c r="K536" t="n">
        <v>0</v>
      </c>
      <c r="L536" t="n">
        <v>0</v>
      </c>
      <c r="M536" t="n">
        <v>0</v>
      </c>
      <c r="N536" t="n">
        <v>0</v>
      </c>
      <c r="O536" t="n">
        <v>0</v>
      </c>
      <c r="P536" t="n">
        <v>0</v>
      </c>
      <c r="Q536" t="n">
        <v>0</v>
      </c>
      <c r="R536" s="2" t="inlineStr"/>
    </row>
    <row r="537" ht="15" customHeight="1">
      <c r="A537" t="inlineStr">
        <is>
          <t>A 34389-2018</t>
        </is>
      </c>
      <c r="B537" s="1" t="n">
        <v>43319</v>
      </c>
      <c r="C537" s="1" t="n">
        <v>45210</v>
      </c>
      <c r="D537" t="inlineStr">
        <is>
          <t>DALARNAS LÄN</t>
        </is>
      </c>
      <c r="E537" t="inlineStr">
        <is>
          <t>ORSA</t>
        </is>
      </c>
      <c r="G537" t="n">
        <v>1.2</v>
      </c>
      <c r="H537" t="n">
        <v>0</v>
      </c>
      <c r="I537" t="n">
        <v>0</v>
      </c>
      <c r="J537" t="n">
        <v>0</v>
      </c>
      <c r="K537" t="n">
        <v>0</v>
      </c>
      <c r="L537" t="n">
        <v>0</v>
      </c>
      <c r="M537" t="n">
        <v>0</v>
      </c>
      <c r="N537" t="n">
        <v>0</v>
      </c>
      <c r="O537" t="n">
        <v>0</v>
      </c>
      <c r="P537" t="n">
        <v>0</v>
      </c>
      <c r="Q537" t="n">
        <v>0</v>
      </c>
      <c r="R537" s="2" t="inlineStr"/>
    </row>
    <row r="538" ht="15" customHeight="1">
      <c r="A538" t="inlineStr">
        <is>
          <t>A 34463-2018</t>
        </is>
      </c>
      <c r="B538" s="1" t="n">
        <v>43319</v>
      </c>
      <c r="C538" s="1" t="n">
        <v>45210</v>
      </c>
      <c r="D538" t="inlineStr">
        <is>
          <t>DALARNAS LÄN</t>
        </is>
      </c>
      <c r="E538" t="inlineStr">
        <is>
          <t>VANSBRO</t>
        </is>
      </c>
      <c r="G538" t="n">
        <v>7.3</v>
      </c>
      <c r="H538" t="n">
        <v>0</v>
      </c>
      <c r="I538" t="n">
        <v>0</v>
      </c>
      <c r="J538" t="n">
        <v>0</v>
      </c>
      <c r="K538" t="n">
        <v>0</v>
      </c>
      <c r="L538" t="n">
        <v>0</v>
      </c>
      <c r="M538" t="n">
        <v>0</v>
      </c>
      <c r="N538" t="n">
        <v>0</v>
      </c>
      <c r="O538" t="n">
        <v>0</v>
      </c>
      <c r="P538" t="n">
        <v>0</v>
      </c>
      <c r="Q538" t="n">
        <v>0</v>
      </c>
      <c r="R538" s="2" t="inlineStr"/>
    </row>
    <row r="539" ht="15" customHeight="1">
      <c r="A539" t="inlineStr">
        <is>
          <t>A 34414-2018</t>
        </is>
      </c>
      <c r="B539" s="1" t="n">
        <v>43319</v>
      </c>
      <c r="C539" s="1" t="n">
        <v>45210</v>
      </c>
      <c r="D539" t="inlineStr">
        <is>
          <t>DALARNAS LÄN</t>
        </is>
      </c>
      <c r="E539" t="inlineStr">
        <is>
          <t>ORSA</t>
        </is>
      </c>
      <c r="G539" t="n">
        <v>0.7</v>
      </c>
      <c r="H539" t="n">
        <v>0</v>
      </c>
      <c r="I539" t="n">
        <v>0</v>
      </c>
      <c r="J539" t="n">
        <v>0</v>
      </c>
      <c r="K539" t="n">
        <v>0</v>
      </c>
      <c r="L539" t="n">
        <v>0</v>
      </c>
      <c r="M539" t="n">
        <v>0</v>
      </c>
      <c r="N539" t="n">
        <v>0</v>
      </c>
      <c r="O539" t="n">
        <v>0</v>
      </c>
      <c r="P539" t="n">
        <v>0</v>
      </c>
      <c r="Q539" t="n">
        <v>0</v>
      </c>
      <c r="R539" s="2" t="inlineStr"/>
    </row>
    <row r="540" ht="15" customHeight="1">
      <c r="A540" t="inlineStr">
        <is>
          <t>A 34828-2018</t>
        </is>
      </c>
      <c r="B540" s="1" t="n">
        <v>43321</v>
      </c>
      <c r="C540" s="1" t="n">
        <v>45210</v>
      </c>
      <c r="D540" t="inlineStr">
        <is>
          <t>DALARNAS LÄN</t>
        </is>
      </c>
      <c r="E540" t="inlineStr">
        <is>
          <t>FALUN</t>
        </is>
      </c>
      <c r="G540" t="n">
        <v>6</v>
      </c>
      <c r="H540" t="n">
        <v>0</v>
      </c>
      <c r="I540" t="n">
        <v>0</v>
      </c>
      <c r="J540" t="n">
        <v>0</v>
      </c>
      <c r="K540" t="n">
        <v>0</v>
      </c>
      <c r="L540" t="n">
        <v>0</v>
      </c>
      <c r="M540" t="n">
        <v>0</v>
      </c>
      <c r="N540" t="n">
        <v>0</v>
      </c>
      <c r="O540" t="n">
        <v>0</v>
      </c>
      <c r="P540" t="n">
        <v>0</v>
      </c>
      <c r="Q540" t="n">
        <v>0</v>
      </c>
      <c r="R540" s="2" t="inlineStr"/>
    </row>
    <row r="541" ht="15" customHeight="1">
      <c r="A541" t="inlineStr">
        <is>
          <t>A 35106-2018</t>
        </is>
      </c>
      <c r="B541" s="1" t="n">
        <v>43322</v>
      </c>
      <c r="C541" s="1" t="n">
        <v>45210</v>
      </c>
      <c r="D541" t="inlineStr">
        <is>
          <t>DALARNAS LÄN</t>
        </is>
      </c>
      <c r="E541" t="inlineStr">
        <is>
          <t>SMEDJEBACKEN</t>
        </is>
      </c>
      <c r="G541" t="n">
        <v>2.2</v>
      </c>
      <c r="H541" t="n">
        <v>0</v>
      </c>
      <c r="I541" t="n">
        <v>0</v>
      </c>
      <c r="J541" t="n">
        <v>0</v>
      </c>
      <c r="K541" t="n">
        <v>0</v>
      </c>
      <c r="L541" t="n">
        <v>0</v>
      </c>
      <c r="M541" t="n">
        <v>0</v>
      </c>
      <c r="N541" t="n">
        <v>0</v>
      </c>
      <c r="O541" t="n">
        <v>0</v>
      </c>
      <c r="P541" t="n">
        <v>0</v>
      </c>
      <c r="Q541" t="n">
        <v>0</v>
      </c>
      <c r="R541" s="2" t="inlineStr"/>
    </row>
    <row r="542" ht="15" customHeight="1">
      <c r="A542" t="inlineStr">
        <is>
          <t>A 35134-2018</t>
        </is>
      </c>
      <c r="B542" s="1" t="n">
        <v>43322</v>
      </c>
      <c r="C542" s="1" t="n">
        <v>45210</v>
      </c>
      <c r="D542" t="inlineStr">
        <is>
          <t>DALARNAS LÄN</t>
        </is>
      </c>
      <c r="E542" t="inlineStr">
        <is>
          <t>SMEDJEBACKEN</t>
        </is>
      </c>
      <c r="G542" t="n">
        <v>1.3</v>
      </c>
      <c r="H542" t="n">
        <v>0</v>
      </c>
      <c r="I542" t="n">
        <v>0</v>
      </c>
      <c r="J542" t="n">
        <v>0</v>
      </c>
      <c r="K542" t="n">
        <v>0</v>
      </c>
      <c r="L542" t="n">
        <v>0</v>
      </c>
      <c r="M542" t="n">
        <v>0</v>
      </c>
      <c r="N542" t="n">
        <v>0</v>
      </c>
      <c r="O542" t="n">
        <v>0</v>
      </c>
      <c r="P542" t="n">
        <v>0</v>
      </c>
      <c r="Q542" t="n">
        <v>0</v>
      </c>
      <c r="R542" s="2" t="inlineStr"/>
    </row>
    <row r="543" ht="15" customHeight="1">
      <c r="A543" t="inlineStr">
        <is>
          <t>A 35508-2018</t>
        </is>
      </c>
      <c r="B543" s="1" t="n">
        <v>43325</v>
      </c>
      <c r="C543" s="1" t="n">
        <v>45210</v>
      </c>
      <c r="D543" t="inlineStr">
        <is>
          <t>DALARNAS LÄN</t>
        </is>
      </c>
      <c r="E543" t="inlineStr">
        <is>
          <t>MALUNG-SÄLEN</t>
        </is>
      </c>
      <c r="F543" t="inlineStr">
        <is>
          <t>Allmännings- och besparingsskogar</t>
        </is>
      </c>
      <c r="G543" t="n">
        <v>34.5</v>
      </c>
      <c r="H543" t="n">
        <v>0</v>
      </c>
      <c r="I543" t="n">
        <v>0</v>
      </c>
      <c r="J543" t="n">
        <v>0</v>
      </c>
      <c r="K543" t="n">
        <v>0</v>
      </c>
      <c r="L543" t="n">
        <v>0</v>
      </c>
      <c r="M543" t="n">
        <v>0</v>
      </c>
      <c r="N543" t="n">
        <v>0</v>
      </c>
      <c r="O543" t="n">
        <v>0</v>
      </c>
      <c r="P543" t="n">
        <v>0</v>
      </c>
      <c r="Q543" t="n">
        <v>0</v>
      </c>
      <c r="R543" s="2" t="inlineStr"/>
    </row>
    <row r="544" ht="15" customHeight="1">
      <c r="A544" t="inlineStr">
        <is>
          <t>A 35503-2018</t>
        </is>
      </c>
      <c r="B544" s="1" t="n">
        <v>43325</v>
      </c>
      <c r="C544" s="1" t="n">
        <v>45210</v>
      </c>
      <c r="D544" t="inlineStr">
        <is>
          <t>DALARNAS LÄN</t>
        </is>
      </c>
      <c r="E544" t="inlineStr">
        <is>
          <t>MALUNG-SÄLEN</t>
        </is>
      </c>
      <c r="F544" t="inlineStr">
        <is>
          <t>Allmännings- och besparingsskogar</t>
        </is>
      </c>
      <c r="G544" t="n">
        <v>24.9</v>
      </c>
      <c r="H544" t="n">
        <v>0</v>
      </c>
      <c r="I544" t="n">
        <v>0</v>
      </c>
      <c r="J544" t="n">
        <v>0</v>
      </c>
      <c r="K544" t="n">
        <v>0</v>
      </c>
      <c r="L544" t="n">
        <v>0</v>
      </c>
      <c r="M544" t="n">
        <v>0</v>
      </c>
      <c r="N544" t="n">
        <v>0</v>
      </c>
      <c r="O544" t="n">
        <v>0</v>
      </c>
      <c r="P544" t="n">
        <v>0</v>
      </c>
      <c r="Q544" t="n">
        <v>0</v>
      </c>
      <c r="R544" s="2" t="inlineStr"/>
    </row>
    <row r="545" ht="15" customHeight="1">
      <c r="A545" t="inlineStr">
        <is>
          <t>A 35870-2018</t>
        </is>
      </c>
      <c r="B545" s="1" t="n">
        <v>43327</v>
      </c>
      <c r="C545" s="1" t="n">
        <v>45210</v>
      </c>
      <c r="D545" t="inlineStr">
        <is>
          <t>DALARNAS LÄN</t>
        </is>
      </c>
      <c r="E545" t="inlineStr">
        <is>
          <t>MALUNG-SÄLEN</t>
        </is>
      </c>
      <c r="G545" t="n">
        <v>1.5</v>
      </c>
      <c r="H545" t="n">
        <v>0</v>
      </c>
      <c r="I545" t="n">
        <v>0</v>
      </c>
      <c r="J545" t="n">
        <v>0</v>
      </c>
      <c r="K545" t="n">
        <v>0</v>
      </c>
      <c r="L545" t="n">
        <v>0</v>
      </c>
      <c r="M545" t="n">
        <v>0</v>
      </c>
      <c r="N545" t="n">
        <v>0</v>
      </c>
      <c r="O545" t="n">
        <v>0</v>
      </c>
      <c r="P545" t="n">
        <v>0</v>
      </c>
      <c r="Q545" t="n">
        <v>0</v>
      </c>
      <c r="R545" s="2" t="inlineStr"/>
    </row>
    <row r="546" ht="15" customHeight="1">
      <c r="A546" t="inlineStr">
        <is>
          <t>A 36999-2018</t>
        </is>
      </c>
      <c r="B546" s="1" t="n">
        <v>43332</v>
      </c>
      <c r="C546" s="1" t="n">
        <v>45210</v>
      </c>
      <c r="D546" t="inlineStr">
        <is>
          <t>DALARNAS LÄN</t>
        </is>
      </c>
      <c r="E546" t="inlineStr">
        <is>
          <t>MALUNG-SÄLEN</t>
        </is>
      </c>
      <c r="F546" t="inlineStr">
        <is>
          <t>Kommuner</t>
        </is>
      </c>
      <c r="G546" t="n">
        <v>3.5</v>
      </c>
      <c r="H546" t="n">
        <v>0</v>
      </c>
      <c r="I546" t="n">
        <v>0</v>
      </c>
      <c r="J546" t="n">
        <v>0</v>
      </c>
      <c r="K546" t="n">
        <v>0</v>
      </c>
      <c r="L546" t="n">
        <v>0</v>
      </c>
      <c r="M546" t="n">
        <v>0</v>
      </c>
      <c r="N546" t="n">
        <v>0</v>
      </c>
      <c r="O546" t="n">
        <v>0</v>
      </c>
      <c r="P546" t="n">
        <v>0</v>
      </c>
      <c r="Q546" t="n">
        <v>0</v>
      </c>
      <c r="R546" s="2" t="inlineStr"/>
    </row>
    <row r="547" ht="15" customHeight="1">
      <c r="A547" t="inlineStr">
        <is>
          <t>A 37137-2018</t>
        </is>
      </c>
      <c r="B547" s="1" t="n">
        <v>43333</v>
      </c>
      <c r="C547" s="1" t="n">
        <v>45210</v>
      </c>
      <c r="D547" t="inlineStr">
        <is>
          <t>DALARNAS LÄN</t>
        </is>
      </c>
      <c r="E547" t="inlineStr">
        <is>
          <t>RÄTTVIK</t>
        </is>
      </c>
      <c r="G547" t="n">
        <v>1.4</v>
      </c>
      <c r="H547" t="n">
        <v>0</v>
      </c>
      <c r="I547" t="n">
        <v>0</v>
      </c>
      <c r="J547" t="n">
        <v>0</v>
      </c>
      <c r="K547" t="n">
        <v>0</v>
      </c>
      <c r="L547" t="n">
        <v>0</v>
      </c>
      <c r="M547" t="n">
        <v>0</v>
      </c>
      <c r="N547" t="n">
        <v>0</v>
      </c>
      <c r="O547" t="n">
        <v>0</v>
      </c>
      <c r="P547" t="n">
        <v>0</v>
      </c>
      <c r="Q547" t="n">
        <v>0</v>
      </c>
      <c r="R547" s="2" t="inlineStr"/>
    </row>
    <row r="548" ht="15" customHeight="1">
      <c r="A548" t="inlineStr">
        <is>
          <t>A 37194-2018</t>
        </is>
      </c>
      <c r="B548" s="1" t="n">
        <v>43333</v>
      </c>
      <c r="C548" s="1" t="n">
        <v>45210</v>
      </c>
      <c r="D548" t="inlineStr">
        <is>
          <t>DALARNAS LÄN</t>
        </is>
      </c>
      <c r="E548" t="inlineStr">
        <is>
          <t>FALUN</t>
        </is>
      </c>
      <c r="G548" t="n">
        <v>0.6</v>
      </c>
      <c r="H548" t="n">
        <v>0</v>
      </c>
      <c r="I548" t="n">
        <v>0</v>
      </c>
      <c r="J548" t="n">
        <v>0</v>
      </c>
      <c r="K548" t="n">
        <v>0</v>
      </c>
      <c r="L548" t="n">
        <v>0</v>
      </c>
      <c r="M548" t="n">
        <v>0</v>
      </c>
      <c r="N548" t="n">
        <v>0</v>
      </c>
      <c r="O548" t="n">
        <v>0</v>
      </c>
      <c r="P548" t="n">
        <v>0</v>
      </c>
      <c r="Q548" t="n">
        <v>0</v>
      </c>
      <c r="R548" s="2" t="inlineStr"/>
    </row>
    <row r="549" ht="15" customHeight="1">
      <c r="A549" t="inlineStr">
        <is>
          <t>A 37340-2018</t>
        </is>
      </c>
      <c r="B549" s="1" t="n">
        <v>43334</v>
      </c>
      <c r="C549" s="1" t="n">
        <v>45210</v>
      </c>
      <c r="D549" t="inlineStr">
        <is>
          <t>DALARNAS LÄN</t>
        </is>
      </c>
      <c r="E549" t="inlineStr">
        <is>
          <t>MALUNG-SÄLEN</t>
        </is>
      </c>
      <c r="F549" t="inlineStr">
        <is>
          <t>Bergvik skog öst AB</t>
        </is>
      </c>
      <c r="G549" t="n">
        <v>1</v>
      </c>
      <c r="H549" t="n">
        <v>0</v>
      </c>
      <c r="I549" t="n">
        <v>0</v>
      </c>
      <c r="J549" t="n">
        <v>0</v>
      </c>
      <c r="K549" t="n">
        <v>0</v>
      </c>
      <c r="L549" t="n">
        <v>0</v>
      </c>
      <c r="M549" t="n">
        <v>0</v>
      </c>
      <c r="N549" t="n">
        <v>0</v>
      </c>
      <c r="O549" t="n">
        <v>0</v>
      </c>
      <c r="P549" t="n">
        <v>0</v>
      </c>
      <c r="Q549" t="n">
        <v>0</v>
      </c>
      <c r="R549" s="2" t="inlineStr"/>
    </row>
    <row r="550" ht="15" customHeight="1">
      <c r="A550" t="inlineStr">
        <is>
          <t>A 37366-2018</t>
        </is>
      </c>
      <c r="B550" s="1" t="n">
        <v>43334</v>
      </c>
      <c r="C550" s="1" t="n">
        <v>45210</v>
      </c>
      <c r="D550" t="inlineStr">
        <is>
          <t>DALARNAS LÄN</t>
        </is>
      </c>
      <c r="E550" t="inlineStr">
        <is>
          <t>FALUN</t>
        </is>
      </c>
      <c r="G550" t="n">
        <v>3.9</v>
      </c>
      <c r="H550" t="n">
        <v>0</v>
      </c>
      <c r="I550" t="n">
        <v>0</v>
      </c>
      <c r="J550" t="n">
        <v>0</v>
      </c>
      <c r="K550" t="n">
        <v>0</v>
      </c>
      <c r="L550" t="n">
        <v>0</v>
      </c>
      <c r="M550" t="n">
        <v>0</v>
      </c>
      <c r="N550" t="n">
        <v>0</v>
      </c>
      <c r="O550" t="n">
        <v>0</v>
      </c>
      <c r="P550" t="n">
        <v>0</v>
      </c>
      <c r="Q550" t="n">
        <v>0</v>
      </c>
      <c r="R550" s="2" t="inlineStr"/>
    </row>
    <row r="551" ht="15" customHeight="1">
      <c r="A551" t="inlineStr">
        <is>
          <t>A 38789-2018</t>
        </is>
      </c>
      <c r="B551" s="1" t="n">
        <v>43336</v>
      </c>
      <c r="C551" s="1" t="n">
        <v>45210</v>
      </c>
      <c r="D551" t="inlineStr">
        <is>
          <t>DALARNAS LÄN</t>
        </is>
      </c>
      <c r="E551" t="inlineStr">
        <is>
          <t>LEKSAND</t>
        </is>
      </c>
      <c r="G551" t="n">
        <v>2.4</v>
      </c>
      <c r="H551" t="n">
        <v>0</v>
      </c>
      <c r="I551" t="n">
        <v>0</v>
      </c>
      <c r="J551" t="n">
        <v>0</v>
      </c>
      <c r="K551" t="n">
        <v>0</v>
      </c>
      <c r="L551" t="n">
        <v>0</v>
      </c>
      <c r="M551" t="n">
        <v>0</v>
      </c>
      <c r="N551" t="n">
        <v>0</v>
      </c>
      <c r="O551" t="n">
        <v>0</v>
      </c>
      <c r="P551" t="n">
        <v>0</v>
      </c>
      <c r="Q551" t="n">
        <v>0</v>
      </c>
      <c r="R551" s="2" t="inlineStr"/>
    </row>
    <row r="552" ht="15" customHeight="1">
      <c r="A552" t="inlineStr">
        <is>
          <t>A 39008-2018</t>
        </is>
      </c>
      <c r="B552" s="1" t="n">
        <v>43339</v>
      </c>
      <c r="C552" s="1" t="n">
        <v>45210</v>
      </c>
      <c r="D552" t="inlineStr">
        <is>
          <t>DALARNAS LÄN</t>
        </is>
      </c>
      <c r="E552" t="inlineStr">
        <is>
          <t>ÄLVDALEN</t>
        </is>
      </c>
      <c r="G552" t="n">
        <v>8.5</v>
      </c>
      <c r="H552" t="n">
        <v>0</v>
      </c>
      <c r="I552" t="n">
        <v>0</v>
      </c>
      <c r="J552" t="n">
        <v>0</v>
      </c>
      <c r="K552" t="n">
        <v>0</v>
      </c>
      <c r="L552" t="n">
        <v>0</v>
      </c>
      <c r="M552" t="n">
        <v>0</v>
      </c>
      <c r="N552" t="n">
        <v>0</v>
      </c>
      <c r="O552" t="n">
        <v>0</v>
      </c>
      <c r="P552" t="n">
        <v>0</v>
      </c>
      <c r="Q552" t="n">
        <v>0</v>
      </c>
      <c r="R552" s="2" t="inlineStr"/>
    </row>
    <row r="553" ht="15" customHeight="1">
      <c r="A553" t="inlineStr">
        <is>
          <t>A 39218-2018</t>
        </is>
      </c>
      <c r="B553" s="1" t="n">
        <v>43339</v>
      </c>
      <c r="C553" s="1" t="n">
        <v>45210</v>
      </c>
      <c r="D553" t="inlineStr">
        <is>
          <t>DALARNAS LÄN</t>
        </is>
      </c>
      <c r="E553" t="inlineStr">
        <is>
          <t>MORA</t>
        </is>
      </c>
      <c r="G553" t="n">
        <v>1</v>
      </c>
      <c r="H553" t="n">
        <v>0</v>
      </c>
      <c r="I553" t="n">
        <v>0</v>
      </c>
      <c r="J553" t="n">
        <v>0</v>
      </c>
      <c r="K553" t="n">
        <v>0</v>
      </c>
      <c r="L553" t="n">
        <v>0</v>
      </c>
      <c r="M553" t="n">
        <v>0</v>
      </c>
      <c r="N553" t="n">
        <v>0</v>
      </c>
      <c r="O553" t="n">
        <v>0</v>
      </c>
      <c r="P553" t="n">
        <v>0</v>
      </c>
      <c r="Q553" t="n">
        <v>0</v>
      </c>
      <c r="R553" s="2" t="inlineStr"/>
    </row>
    <row r="554" ht="15" customHeight="1">
      <c r="A554" t="inlineStr">
        <is>
          <t>A 39195-2018</t>
        </is>
      </c>
      <c r="B554" s="1" t="n">
        <v>43339</v>
      </c>
      <c r="C554" s="1" t="n">
        <v>45210</v>
      </c>
      <c r="D554" t="inlineStr">
        <is>
          <t>DALARNAS LÄN</t>
        </is>
      </c>
      <c r="E554" t="inlineStr">
        <is>
          <t>ÄLVDALEN</t>
        </is>
      </c>
      <c r="G554" t="n">
        <v>11</v>
      </c>
      <c r="H554" t="n">
        <v>0</v>
      </c>
      <c r="I554" t="n">
        <v>0</v>
      </c>
      <c r="J554" t="n">
        <v>0</v>
      </c>
      <c r="K554" t="n">
        <v>0</v>
      </c>
      <c r="L554" t="n">
        <v>0</v>
      </c>
      <c r="M554" t="n">
        <v>0</v>
      </c>
      <c r="N554" t="n">
        <v>0</v>
      </c>
      <c r="O554" t="n">
        <v>0</v>
      </c>
      <c r="P554" t="n">
        <v>0</v>
      </c>
      <c r="Q554" t="n">
        <v>0</v>
      </c>
      <c r="R554" s="2" t="inlineStr"/>
    </row>
    <row r="555" ht="15" customHeight="1">
      <c r="A555" t="inlineStr">
        <is>
          <t>A 39348-2018</t>
        </is>
      </c>
      <c r="B555" s="1" t="n">
        <v>43339</v>
      </c>
      <c r="C555" s="1" t="n">
        <v>45210</v>
      </c>
      <c r="D555" t="inlineStr">
        <is>
          <t>DALARNAS LÄN</t>
        </is>
      </c>
      <c r="E555" t="inlineStr">
        <is>
          <t>SMEDJEBACKEN</t>
        </is>
      </c>
      <c r="G555" t="n">
        <v>1.2</v>
      </c>
      <c r="H555" t="n">
        <v>0</v>
      </c>
      <c r="I555" t="n">
        <v>0</v>
      </c>
      <c r="J555" t="n">
        <v>0</v>
      </c>
      <c r="K555" t="n">
        <v>0</v>
      </c>
      <c r="L555" t="n">
        <v>0</v>
      </c>
      <c r="M555" t="n">
        <v>0</v>
      </c>
      <c r="N555" t="n">
        <v>0</v>
      </c>
      <c r="O555" t="n">
        <v>0</v>
      </c>
      <c r="P555" t="n">
        <v>0</v>
      </c>
      <c r="Q555" t="n">
        <v>0</v>
      </c>
      <c r="R555" s="2" t="inlineStr"/>
    </row>
    <row r="556" ht="15" customHeight="1">
      <c r="A556" t="inlineStr">
        <is>
          <t>A 39677-2018</t>
        </is>
      </c>
      <c r="B556" s="1" t="n">
        <v>43341</v>
      </c>
      <c r="C556" s="1" t="n">
        <v>45210</v>
      </c>
      <c r="D556" t="inlineStr">
        <is>
          <t>DALARNAS LÄN</t>
        </is>
      </c>
      <c r="E556" t="inlineStr">
        <is>
          <t>ÄLVDALEN</t>
        </is>
      </c>
      <c r="G556" t="n">
        <v>6.6</v>
      </c>
      <c r="H556" t="n">
        <v>0</v>
      </c>
      <c r="I556" t="n">
        <v>0</v>
      </c>
      <c r="J556" t="n">
        <v>0</v>
      </c>
      <c r="K556" t="n">
        <v>0</v>
      </c>
      <c r="L556" t="n">
        <v>0</v>
      </c>
      <c r="M556" t="n">
        <v>0</v>
      </c>
      <c r="N556" t="n">
        <v>0</v>
      </c>
      <c r="O556" t="n">
        <v>0</v>
      </c>
      <c r="P556" t="n">
        <v>0</v>
      </c>
      <c r="Q556" t="n">
        <v>0</v>
      </c>
      <c r="R556" s="2" t="inlineStr"/>
    </row>
    <row r="557" ht="15" customHeight="1">
      <c r="A557" t="inlineStr">
        <is>
          <t>A 39675-2018</t>
        </is>
      </c>
      <c r="B557" s="1" t="n">
        <v>43341</v>
      </c>
      <c r="C557" s="1" t="n">
        <v>45210</v>
      </c>
      <c r="D557" t="inlineStr">
        <is>
          <t>DALARNAS LÄN</t>
        </is>
      </c>
      <c r="E557" t="inlineStr">
        <is>
          <t>ÄLVDALEN</t>
        </is>
      </c>
      <c r="G557" t="n">
        <v>2.5</v>
      </c>
      <c r="H557" t="n">
        <v>0</v>
      </c>
      <c r="I557" t="n">
        <v>0</v>
      </c>
      <c r="J557" t="n">
        <v>0</v>
      </c>
      <c r="K557" t="n">
        <v>0</v>
      </c>
      <c r="L557" t="n">
        <v>0</v>
      </c>
      <c r="M557" t="n">
        <v>0</v>
      </c>
      <c r="N557" t="n">
        <v>0</v>
      </c>
      <c r="O557" t="n">
        <v>0</v>
      </c>
      <c r="P557" t="n">
        <v>0</v>
      </c>
      <c r="Q557" t="n">
        <v>0</v>
      </c>
      <c r="R557" s="2" t="inlineStr"/>
    </row>
    <row r="558" ht="15" customHeight="1">
      <c r="A558" t="inlineStr">
        <is>
          <t>A 41196-2018</t>
        </is>
      </c>
      <c r="B558" s="1" t="n">
        <v>43346</v>
      </c>
      <c r="C558" s="1" t="n">
        <v>45210</v>
      </c>
      <c r="D558" t="inlineStr">
        <is>
          <t>DALARNAS LÄN</t>
        </is>
      </c>
      <c r="E558" t="inlineStr">
        <is>
          <t>MORA</t>
        </is>
      </c>
      <c r="G558" t="n">
        <v>0.6</v>
      </c>
      <c r="H558" t="n">
        <v>0</v>
      </c>
      <c r="I558" t="n">
        <v>0</v>
      </c>
      <c r="J558" t="n">
        <v>0</v>
      </c>
      <c r="K558" t="n">
        <v>0</v>
      </c>
      <c r="L558" t="n">
        <v>0</v>
      </c>
      <c r="M558" t="n">
        <v>0</v>
      </c>
      <c r="N558" t="n">
        <v>0</v>
      </c>
      <c r="O558" t="n">
        <v>0</v>
      </c>
      <c r="P558" t="n">
        <v>0</v>
      </c>
      <c r="Q558" t="n">
        <v>0</v>
      </c>
      <c r="R558" s="2" t="inlineStr"/>
    </row>
    <row r="559" ht="15" customHeight="1">
      <c r="A559" t="inlineStr">
        <is>
          <t>A 41360-2018</t>
        </is>
      </c>
      <c r="B559" s="1" t="n">
        <v>43346</v>
      </c>
      <c r="C559" s="1" t="n">
        <v>45210</v>
      </c>
      <c r="D559" t="inlineStr">
        <is>
          <t>DALARNAS LÄN</t>
        </is>
      </c>
      <c r="E559" t="inlineStr">
        <is>
          <t>MORA</t>
        </is>
      </c>
      <c r="G559" t="n">
        <v>0.4</v>
      </c>
      <c r="H559" t="n">
        <v>0</v>
      </c>
      <c r="I559" t="n">
        <v>0</v>
      </c>
      <c r="J559" t="n">
        <v>0</v>
      </c>
      <c r="K559" t="n">
        <v>0</v>
      </c>
      <c r="L559" t="n">
        <v>0</v>
      </c>
      <c r="M559" t="n">
        <v>0</v>
      </c>
      <c r="N559" t="n">
        <v>0</v>
      </c>
      <c r="O559" t="n">
        <v>0</v>
      </c>
      <c r="P559" t="n">
        <v>0</v>
      </c>
      <c r="Q559" t="n">
        <v>0</v>
      </c>
      <c r="R559" s="2" t="inlineStr"/>
    </row>
    <row r="560" ht="15" customHeight="1">
      <c r="A560" t="inlineStr">
        <is>
          <t>A 41198-2018</t>
        </is>
      </c>
      <c r="B560" s="1" t="n">
        <v>43346</v>
      </c>
      <c r="C560" s="1" t="n">
        <v>45210</v>
      </c>
      <c r="D560" t="inlineStr">
        <is>
          <t>DALARNAS LÄN</t>
        </is>
      </c>
      <c r="E560" t="inlineStr">
        <is>
          <t>MORA</t>
        </is>
      </c>
      <c r="G560" t="n">
        <v>1.5</v>
      </c>
      <c r="H560" t="n">
        <v>0</v>
      </c>
      <c r="I560" t="n">
        <v>0</v>
      </c>
      <c r="J560" t="n">
        <v>0</v>
      </c>
      <c r="K560" t="n">
        <v>0</v>
      </c>
      <c r="L560" t="n">
        <v>0</v>
      </c>
      <c r="M560" t="n">
        <v>0</v>
      </c>
      <c r="N560" t="n">
        <v>0</v>
      </c>
      <c r="O560" t="n">
        <v>0</v>
      </c>
      <c r="P560" t="n">
        <v>0</v>
      </c>
      <c r="Q560" t="n">
        <v>0</v>
      </c>
      <c r="R560" s="2" t="inlineStr"/>
    </row>
    <row r="561" ht="15" customHeight="1">
      <c r="A561" t="inlineStr">
        <is>
          <t>A 41363-2018</t>
        </is>
      </c>
      <c r="B561" s="1" t="n">
        <v>43346</v>
      </c>
      <c r="C561" s="1" t="n">
        <v>45210</v>
      </c>
      <c r="D561" t="inlineStr">
        <is>
          <t>DALARNAS LÄN</t>
        </is>
      </c>
      <c r="E561" t="inlineStr">
        <is>
          <t>MORA</t>
        </is>
      </c>
      <c r="G561" t="n">
        <v>0.3</v>
      </c>
      <c r="H561" t="n">
        <v>0</v>
      </c>
      <c r="I561" t="n">
        <v>0</v>
      </c>
      <c r="J561" t="n">
        <v>0</v>
      </c>
      <c r="K561" t="n">
        <v>0</v>
      </c>
      <c r="L561" t="n">
        <v>0</v>
      </c>
      <c r="M561" t="n">
        <v>0</v>
      </c>
      <c r="N561" t="n">
        <v>0</v>
      </c>
      <c r="O561" t="n">
        <v>0</v>
      </c>
      <c r="P561" t="n">
        <v>0</v>
      </c>
      <c r="Q561" t="n">
        <v>0</v>
      </c>
      <c r="R561" s="2" t="inlineStr"/>
    </row>
    <row r="562" ht="15" customHeight="1">
      <c r="A562" t="inlineStr">
        <is>
          <t>A 40796-2018</t>
        </is>
      </c>
      <c r="B562" s="1" t="n">
        <v>43346</v>
      </c>
      <c r="C562" s="1" t="n">
        <v>45210</v>
      </c>
      <c r="D562" t="inlineStr">
        <is>
          <t>DALARNAS LÄN</t>
        </is>
      </c>
      <c r="E562" t="inlineStr">
        <is>
          <t>MALUNG-SÄLEN</t>
        </is>
      </c>
      <c r="F562" t="inlineStr">
        <is>
          <t>Allmännings- och besparingsskogar</t>
        </is>
      </c>
      <c r="G562" t="n">
        <v>1.1</v>
      </c>
      <c r="H562" t="n">
        <v>0</v>
      </c>
      <c r="I562" t="n">
        <v>0</v>
      </c>
      <c r="J562" t="n">
        <v>0</v>
      </c>
      <c r="K562" t="n">
        <v>0</v>
      </c>
      <c r="L562" t="n">
        <v>0</v>
      </c>
      <c r="M562" t="n">
        <v>0</v>
      </c>
      <c r="N562" t="n">
        <v>0</v>
      </c>
      <c r="O562" t="n">
        <v>0</v>
      </c>
      <c r="P562" t="n">
        <v>0</v>
      </c>
      <c r="Q562" t="n">
        <v>0</v>
      </c>
      <c r="R562" s="2" t="inlineStr"/>
    </row>
    <row r="563" ht="15" customHeight="1">
      <c r="A563" t="inlineStr">
        <is>
          <t>A 41364-2018</t>
        </is>
      </c>
      <c r="B563" s="1" t="n">
        <v>43346</v>
      </c>
      <c r="C563" s="1" t="n">
        <v>45210</v>
      </c>
      <c r="D563" t="inlineStr">
        <is>
          <t>DALARNAS LÄN</t>
        </is>
      </c>
      <c r="E563" t="inlineStr">
        <is>
          <t>MORA</t>
        </is>
      </c>
      <c r="G563" t="n">
        <v>3.6</v>
      </c>
      <c r="H563" t="n">
        <v>0</v>
      </c>
      <c r="I563" t="n">
        <v>0</v>
      </c>
      <c r="J563" t="n">
        <v>0</v>
      </c>
      <c r="K563" t="n">
        <v>0</v>
      </c>
      <c r="L563" t="n">
        <v>0</v>
      </c>
      <c r="M563" t="n">
        <v>0</v>
      </c>
      <c r="N563" t="n">
        <v>0</v>
      </c>
      <c r="O563" t="n">
        <v>0</v>
      </c>
      <c r="P563" t="n">
        <v>0</v>
      </c>
      <c r="Q563" t="n">
        <v>0</v>
      </c>
      <c r="R563" s="2" t="inlineStr"/>
    </row>
    <row r="564" ht="15" customHeight="1">
      <c r="A564" t="inlineStr">
        <is>
          <t>A 40802-2018</t>
        </is>
      </c>
      <c r="B564" s="1" t="n">
        <v>43347</v>
      </c>
      <c r="C564" s="1" t="n">
        <v>45210</v>
      </c>
      <c r="D564" t="inlineStr">
        <is>
          <t>DALARNAS LÄN</t>
        </is>
      </c>
      <c r="E564" t="inlineStr">
        <is>
          <t>MALUNG-SÄLEN</t>
        </is>
      </c>
      <c r="F564" t="inlineStr">
        <is>
          <t>Allmännings- och besparingsskogar</t>
        </is>
      </c>
      <c r="G564" t="n">
        <v>1.9</v>
      </c>
      <c r="H564" t="n">
        <v>0</v>
      </c>
      <c r="I564" t="n">
        <v>0</v>
      </c>
      <c r="J564" t="n">
        <v>0</v>
      </c>
      <c r="K564" t="n">
        <v>0</v>
      </c>
      <c r="L564" t="n">
        <v>0</v>
      </c>
      <c r="M564" t="n">
        <v>0</v>
      </c>
      <c r="N564" t="n">
        <v>0</v>
      </c>
      <c r="O564" t="n">
        <v>0</v>
      </c>
      <c r="P564" t="n">
        <v>0</v>
      </c>
      <c r="Q564" t="n">
        <v>0</v>
      </c>
      <c r="R564" s="2" t="inlineStr"/>
    </row>
    <row r="565" ht="15" customHeight="1">
      <c r="A565" t="inlineStr">
        <is>
          <t>A 41769-2018</t>
        </is>
      </c>
      <c r="B565" s="1" t="n">
        <v>43348</v>
      </c>
      <c r="C565" s="1" t="n">
        <v>45210</v>
      </c>
      <c r="D565" t="inlineStr">
        <is>
          <t>DALARNAS LÄN</t>
        </is>
      </c>
      <c r="E565" t="inlineStr">
        <is>
          <t>RÄTTVIK</t>
        </is>
      </c>
      <c r="G565" t="n">
        <v>1.7</v>
      </c>
      <c r="H565" t="n">
        <v>0</v>
      </c>
      <c r="I565" t="n">
        <v>0</v>
      </c>
      <c r="J565" t="n">
        <v>0</v>
      </c>
      <c r="K565" t="n">
        <v>0</v>
      </c>
      <c r="L565" t="n">
        <v>0</v>
      </c>
      <c r="M565" t="n">
        <v>0</v>
      </c>
      <c r="N565" t="n">
        <v>0</v>
      </c>
      <c r="O565" t="n">
        <v>0</v>
      </c>
      <c r="P565" t="n">
        <v>0</v>
      </c>
      <c r="Q565" t="n">
        <v>0</v>
      </c>
      <c r="R565" s="2" t="inlineStr"/>
    </row>
    <row r="566" ht="15" customHeight="1">
      <c r="A566" t="inlineStr">
        <is>
          <t>A 41844-2018</t>
        </is>
      </c>
      <c r="B566" s="1" t="n">
        <v>43348</v>
      </c>
      <c r="C566" s="1" t="n">
        <v>45210</v>
      </c>
      <c r="D566" t="inlineStr">
        <is>
          <t>DALARNAS LÄN</t>
        </is>
      </c>
      <c r="E566" t="inlineStr">
        <is>
          <t>VANSBRO</t>
        </is>
      </c>
      <c r="G566" t="n">
        <v>0.6</v>
      </c>
      <c r="H566" t="n">
        <v>0</v>
      </c>
      <c r="I566" t="n">
        <v>0</v>
      </c>
      <c r="J566" t="n">
        <v>0</v>
      </c>
      <c r="K566" t="n">
        <v>0</v>
      </c>
      <c r="L566" t="n">
        <v>0</v>
      </c>
      <c r="M566" t="n">
        <v>0</v>
      </c>
      <c r="N566" t="n">
        <v>0</v>
      </c>
      <c r="O566" t="n">
        <v>0</v>
      </c>
      <c r="P566" t="n">
        <v>0</v>
      </c>
      <c r="Q566" t="n">
        <v>0</v>
      </c>
      <c r="R566" s="2" t="inlineStr"/>
    </row>
    <row r="567" ht="15" customHeight="1">
      <c r="A567" t="inlineStr">
        <is>
          <t>A 41433-2018</t>
        </is>
      </c>
      <c r="B567" s="1" t="n">
        <v>43349</v>
      </c>
      <c r="C567" s="1" t="n">
        <v>45210</v>
      </c>
      <c r="D567" t="inlineStr">
        <is>
          <t>DALARNAS LÄN</t>
        </is>
      </c>
      <c r="E567" t="inlineStr">
        <is>
          <t>MALUNG-SÄLEN</t>
        </is>
      </c>
      <c r="F567" t="inlineStr">
        <is>
          <t>Allmännings- och besparingsskogar</t>
        </is>
      </c>
      <c r="G567" t="n">
        <v>0.7</v>
      </c>
      <c r="H567" t="n">
        <v>0</v>
      </c>
      <c r="I567" t="n">
        <v>0</v>
      </c>
      <c r="J567" t="n">
        <v>0</v>
      </c>
      <c r="K567" t="n">
        <v>0</v>
      </c>
      <c r="L567" t="n">
        <v>0</v>
      </c>
      <c r="M567" t="n">
        <v>0</v>
      </c>
      <c r="N567" t="n">
        <v>0</v>
      </c>
      <c r="O567" t="n">
        <v>0</v>
      </c>
      <c r="P567" t="n">
        <v>0</v>
      </c>
      <c r="Q567" t="n">
        <v>0</v>
      </c>
      <c r="R567" s="2" t="inlineStr"/>
    </row>
    <row r="568" ht="15" customHeight="1">
      <c r="A568" t="inlineStr">
        <is>
          <t>A 42604-2018</t>
        </is>
      </c>
      <c r="B568" s="1" t="n">
        <v>43350</v>
      </c>
      <c r="C568" s="1" t="n">
        <v>45210</v>
      </c>
      <c r="D568" t="inlineStr">
        <is>
          <t>DALARNAS LÄN</t>
        </is>
      </c>
      <c r="E568" t="inlineStr">
        <is>
          <t>LEKSAND</t>
        </is>
      </c>
      <c r="G568" t="n">
        <v>9.9</v>
      </c>
      <c r="H568" t="n">
        <v>0</v>
      </c>
      <c r="I568" t="n">
        <v>0</v>
      </c>
      <c r="J568" t="n">
        <v>0</v>
      </c>
      <c r="K568" t="n">
        <v>0</v>
      </c>
      <c r="L568" t="n">
        <v>0</v>
      </c>
      <c r="M568" t="n">
        <v>0</v>
      </c>
      <c r="N568" t="n">
        <v>0</v>
      </c>
      <c r="O568" t="n">
        <v>0</v>
      </c>
      <c r="P568" t="n">
        <v>0</v>
      </c>
      <c r="Q568" t="n">
        <v>0</v>
      </c>
      <c r="R568" s="2" t="inlineStr"/>
    </row>
    <row r="569" ht="15" customHeight="1">
      <c r="A569" t="inlineStr">
        <is>
          <t>A 43404-2018</t>
        </is>
      </c>
      <c r="B569" s="1" t="n">
        <v>43354</v>
      </c>
      <c r="C569" s="1" t="n">
        <v>45210</v>
      </c>
      <c r="D569" t="inlineStr">
        <is>
          <t>DALARNAS LÄN</t>
        </is>
      </c>
      <c r="E569" t="inlineStr">
        <is>
          <t>MORA</t>
        </is>
      </c>
      <c r="G569" t="n">
        <v>1.1</v>
      </c>
      <c r="H569" t="n">
        <v>0</v>
      </c>
      <c r="I569" t="n">
        <v>0</v>
      </c>
      <c r="J569" t="n">
        <v>0</v>
      </c>
      <c r="K569" t="n">
        <v>0</v>
      </c>
      <c r="L569" t="n">
        <v>0</v>
      </c>
      <c r="M569" t="n">
        <v>0</v>
      </c>
      <c r="N569" t="n">
        <v>0</v>
      </c>
      <c r="O569" t="n">
        <v>0</v>
      </c>
      <c r="P569" t="n">
        <v>0</v>
      </c>
      <c r="Q569" t="n">
        <v>0</v>
      </c>
      <c r="R569" s="2" t="inlineStr"/>
    </row>
    <row r="570" ht="15" customHeight="1">
      <c r="A570" t="inlineStr">
        <is>
          <t>A 43148-2018</t>
        </is>
      </c>
      <c r="B570" s="1" t="n">
        <v>43355</v>
      </c>
      <c r="C570" s="1" t="n">
        <v>45210</v>
      </c>
      <c r="D570" t="inlineStr">
        <is>
          <t>DALARNAS LÄN</t>
        </is>
      </c>
      <c r="E570" t="inlineStr">
        <is>
          <t>ÄLVDALEN</t>
        </is>
      </c>
      <c r="F570" t="inlineStr">
        <is>
          <t>Övriga statliga verk och myndigheter</t>
        </is>
      </c>
      <c r="G570" t="n">
        <v>98.8</v>
      </c>
      <c r="H570" t="n">
        <v>0</v>
      </c>
      <c r="I570" t="n">
        <v>0</v>
      </c>
      <c r="J570" t="n">
        <v>0</v>
      </c>
      <c r="K570" t="n">
        <v>0</v>
      </c>
      <c r="L570" t="n">
        <v>0</v>
      </c>
      <c r="M570" t="n">
        <v>0</v>
      </c>
      <c r="N570" t="n">
        <v>0</v>
      </c>
      <c r="O570" t="n">
        <v>0</v>
      </c>
      <c r="P570" t="n">
        <v>0</v>
      </c>
      <c r="Q570" t="n">
        <v>0</v>
      </c>
      <c r="R570" s="2" t="inlineStr"/>
    </row>
    <row r="571" ht="15" customHeight="1">
      <c r="A571" t="inlineStr">
        <is>
          <t>A 43150-2018</t>
        </is>
      </c>
      <c r="B571" s="1" t="n">
        <v>43355</v>
      </c>
      <c r="C571" s="1" t="n">
        <v>45210</v>
      </c>
      <c r="D571" t="inlineStr">
        <is>
          <t>DALARNAS LÄN</t>
        </is>
      </c>
      <c r="E571" t="inlineStr">
        <is>
          <t>ÄLVDALEN</t>
        </is>
      </c>
      <c r="F571" t="inlineStr">
        <is>
          <t>Övriga statliga verk och myndigheter</t>
        </is>
      </c>
      <c r="G571" t="n">
        <v>21</v>
      </c>
      <c r="H571" t="n">
        <v>0</v>
      </c>
      <c r="I571" t="n">
        <v>0</v>
      </c>
      <c r="J571" t="n">
        <v>0</v>
      </c>
      <c r="K571" t="n">
        <v>0</v>
      </c>
      <c r="L571" t="n">
        <v>0</v>
      </c>
      <c r="M571" t="n">
        <v>0</v>
      </c>
      <c r="N571" t="n">
        <v>0</v>
      </c>
      <c r="O571" t="n">
        <v>0</v>
      </c>
      <c r="P571" t="n">
        <v>0</v>
      </c>
      <c r="Q571" t="n">
        <v>0</v>
      </c>
      <c r="R571" s="2" t="inlineStr"/>
    </row>
    <row r="572" ht="15" customHeight="1">
      <c r="A572" t="inlineStr">
        <is>
          <t>A 44420-2018</t>
        </is>
      </c>
      <c r="B572" s="1" t="n">
        <v>43355</v>
      </c>
      <c r="C572" s="1" t="n">
        <v>45210</v>
      </c>
      <c r="D572" t="inlineStr">
        <is>
          <t>DALARNAS LÄN</t>
        </is>
      </c>
      <c r="E572" t="inlineStr">
        <is>
          <t>ÄLVDALEN</t>
        </is>
      </c>
      <c r="G572" t="n">
        <v>1.6</v>
      </c>
      <c r="H572" t="n">
        <v>0</v>
      </c>
      <c r="I572" t="n">
        <v>0</v>
      </c>
      <c r="J572" t="n">
        <v>0</v>
      </c>
      <c r="K572" t="n">
        <v>0</v>
      </c>
      <c r="L572" t="n">
        <v>0</v>
      </c>
      <c r="M572" t="n">
        <v>0</v>
      </c>
      <c r="N572" t="n">
        <v>0</v>
      </c>
      <c r="O572" t="n">
        <v>0</v>
      </c>
      <c r="P572" t="n">
        <v>0</v>
      </c>
      <c r="Q572" t="n">
        <v>0</v>
      </c>
      <c r="R572" s="2" t="inlineStr"/>
    </row>
    <row r="573" ht="15" customHeight="1">
      <c r="A573" t="inlineStr">
        <is>
          <t>A 42791-2018</t>
        </is>
      </c>
      <c r="B573" s="1" t="n">
        <v>43355</v>
      </c>
      <c r="C573" s="1" t="n">
        <v>45210</v>
      </c>
      <c r="D573" t="inlineStr">
        <is>
          <t>DALARNAS LÄN</t>
        </is>
      </c>
      <c r="E573" t="inlineStr">
        <is>
          <t>LUDVIKA</t>
        </is>
      </c>
      <c r="G573" t="n">
        <v>0.6</v>
      </c>
      <c r="H573" t="n">
        <v>0</v>
      </c>
      <c r="I573" t="n">
        <v>0</v>
      </c>
      <c r="J573" t="n">
        <v>0</v>
      </c>
      <c r="K573" t="n">
        <v>0</v>
      </c>
      <c r="L573" t="n">
        <v>0</v>
      </c>
      <c r="M573" t="n">
        <v>0</v>
      </c>
      <c r="N573" t="n">
        <v>0</v>
      </c>
      <c r="O573" t="n">
        <v>0</v>
      </c>
      <c r="P573" t="n">
        <v>0</v>
      </c>
      <c r="Q573" t="n">
        <v>0</v>
      </c>
      <c r="R573" s="2" t="inlineStr"/>
    </row>
    <row r="574" ht="15" customHeight="1">
      <c r="A574" t="inlineStr">
        <is>
          <t>A 43149-2018</t>
        </is>
      </c>
      <c r="B574" s="1" t="n">
        <v>43355</v>
      </c>
      <c r="C574" s="1" t="n">
        <v>45210</v>
      </c>
      <c r="D574" t="inlineStr">
        <is>
          <t>DALARNAS LÄN</t>
        </is>
      </c>
      <c r="E574" t="inlineStr">
        <is>
          <t>ÄLVDALEN</t>
        </is>
      </c>
      <c r="F574" t="inlineStr">
        <is>
          <t>Övriga statliga verk och myndigheter</t>
        </is>
      </c>
      <c r="G574" t="n">
        <v>67.8</v>
      </c>
      <c r="H574" t="n">
        <v>0</v>
      </c>
      <c r="I574" t="n">
        <v>0</v>
      </c>
      <c r="J574" t="n">
        <v>0</v>
      </c>
      <c r="K574" t="n">
        <v>0</v>
      </c>
      <c r="L574" t="n">
        <v>0</v>
      </c>
      <c r="M574" t="n">
        <v>0</v>
      </c>
      <c r="N574" t="n">
        <v>0</v>
      </c>
      <c r="O574" t="n">
        <v>0</v>
      </c>
      <c r="P574" t="n">
        <v>0</v>
      </c>
      <c r="Q574" t="n">
        <v>0</v>
      </c>
      <c r="R574" s="2" t="inlineStr"/>
    </row>
    <row r="575" ht="15" customHeight="1">
      <c r="A575" t="inlineStr">
        <is>
          <t>A 43271-2018</t>
        </is>
      </c>
      <c r="B575" s="1" t="n">
        <v>43356</v>
      </c>
      <c r="C575" s="1" t="n">
        <v>45210</v>
      </c>
      <c r="D575" t="inlineStr">
        <is>
          <t>DALARNAS LÄN</t>
        </is>
      </c>
      <c r="E575" t="inlineStr">
        <is>
          <t>FALUN</t>
        </is>
      </c>
      <c r="G575" t="n">
        <v>0.9</v>
      </c>
      <c r="H575" t="n">
        <v>0</v>
      </c>
      <c r="I575" t="n">
        <v>0</v>
      </c>
      <c r="J575" t="n">
        <v>0</v>
      </c>
      <c r="K575" t="n">
        <v>0</v>
      </c>
      <c r="L575" t="n">
        <v>0</v>
      </c>
      <c r="M575" t="n">
        <v>0</v>
      </c>
      <c r="N575" t="n">
        <v>0</v>
      </c>
      <c r="O575" t="n">
        <v>0</v>
      </c>
      <c r="P575" t="n">
        <v>0</v>
      </c>
      <c r="Q575" t="n">
        <v>0</v>
      </c>
      <c r="R575" s="2" t="inlineStr"/>
    </row>
    <row r="576" ht="15" customHeight="1">
      <c r="A576" t="inlineStr">
        <is>
          <t>A 44586-2018</t>
        </is>
      </c>
      <c r="B576" s="1" t="n">
        <v>43356</v>
      </c>
      <c r="C576" s="1" t="n">
        <v>45210</v>
      </c>
      <c r="D576" t="inlineStr">
        <is>
          <t>DALARNAS LÄN</t>
        </is>
      </c>
      <c r="E576" t="inlineStr">
        <is>
          <t>RÄTTVIK</t>
        </is>
      </c>
      <c r="G576" t="n">
        <v>2.2</v>
      </c>
      <c r="H576" t="n">
        <v>0</v>
      </c>
      <c r="I576" t="n">
        <v>0</v>
      </c>
      <c r="J576" t="n">
        <v>0</v>
      </c>
      <c r="K576" t="n">
        <v>0</v>
      </c>
      <c r="L576" t="n">
        <v>0</v>
      </c>
      <c r="M576" t="n">
        <v>0</v>
      </c>
      <c r="N576" t="n">
        <v>0</v>
      </c>
      <c r="O576" t="n">
        <v>0</v>
      </c>
      <c r="P576" t="n">
        <v>0</v>
      </c>
      <c r="Q576" t="n">
        <v>0</v>
      </c>
      <c r="R576" s="2" t="inlineStr"/>
    </row>
    <row r="577" ht="15" customHeight="1">
      <c r="A577" t="inlineStr">
        <is>
          <t>A 44870-2018</t>
        </is>
      </c>
      <c r="B577" s="1" t="n">
        <v>43360</v>
      </c>
      <c r="C577" s="1" t="n">
        <v>45210</v>
      </c>
      <c r="D577" t="inlineStr">
        <is>
          <t>DALARNAS LÄN</t>
        </is>
      </c>
      <c r="E577" t="inlineStr">
        <is>
          <t>AVESTA</t>
        </is>
      </c>
      <c r="G577" t="n">
        <v>3.2</v>
      </c>
      <c r="H577" t="n">
        <v>0</v>
      </c>
      <c r="I577" t="n">
        <v>0</v>
      </c>
      <c r="J577" t="n">
        <v>0</v>
      </c>
      <c r="K577" t="n">
        <v>0</v>
      </c>
      <c r="L577" t="n">
        <v>0</v>
      </c>
      <c r="M577" t="n">
        <v>0</v>
      </c>
      <c r="N577" t="n">
        <v>0</v>
      </c>
      <c r="O577" t="n">
        <v>0</v>
      </c>
      <c r="P577" t="n">
        <v>0</v>
      </c>
      <c r="Q577" t="n">
        <v>0</v>
      </c>
      <c r="R577" s="2" t="inlineStr"/>
    </row>
    <row r="578" ht="15" customHeight="1">
      <c r="A578" t="inlineStr">
        <is>
          <t>A 44963-2018</t>
        </is>
      </c>
      <c r="B578" s="1" t="n">
        <v>43360</v>
      </c>
      <c r="C578" s="1" t="n">
        <v>45210</v>
      </c>
      <c r="D578" t="inlineStr">
        <is>
          <t>DALARNAS LÄN</t>
        </is>
      </c>
      <c r="E578" t="inlineStr">
        <is>
          <t>FALUN</t>
        </is>
      </c>
      <c r="G578" t="n">
        <v>1.8</v>
      </c>
      <c r="H578" t="n">
        <v>0</v>
      </c>
      <c r="I578" t="n">
        <v>0</v>
      </c>
      <c r="J578" t="n">
        <v>0</v>
      </c>
      <c r="K578" t="n">
        <v>0</v>
      </c>
      <c r="L578" t="n">
        <v>0</v>
      </c>
      <c r="M578" t="n">
        <v>0</v>
      </c>
      <c r="N578" t="n">
        <v>0</v>
      </c>
      <c r="O578" t="n">
        <v>0</v>
      </c>
      <c r="P578" t="n">
        <v>0</v>
      </c>
      <c r="Q578" t="n">
        <v>0</v>
      </c>
      <c r="R578" s="2" t="inlineStr"/>
    </row>
    <row r="579" ht="15" customHeight="1">
      <c r="A579" t="inlineStr">
        <is>
          <t>A 44960-2018</t>
        </is>
      </c>
      <c r="B579" s="1" t="n">
        <v>43360</v>
      </c>
      <c r="C579" s="1" t="n">
        <v>45210</v>
      </c>
      <c r="D579" t="inlineStr">
        <is>
          <t>DALARNAS LÄN</t>
        </is>
      </c>
      <c r="E579" t="inlineStr">
        <is>
          <t>FALUN</t>
        </is>
      </c>
      <c r="G579" t="n">
        <v>5</v>
      </c>
      <c r="H579" t="n">
        <v>0</v>
      </c>
      <c r="I579" t="n">
        <v>0</v>
      </c>
      <c r="J579" t="n">
        <v>0</v>
      </c>
      <c r="K579" t="n">
        <v>0</v>
      </c>
      <c r="L579" t="n">
        <v>0</v>
      </c>
      <c r="M579" t="n">
        <v>0</v>
      </c>
      <c r="N579" t="n">
        <v>0</v>
      </c>
      <c r="O579" t="n">
        <v>0</v>
      </c>
      <c r="P579" t="n">
        <v>0</v>
      </c>
      <c r="Q579" t="n">
        <v>0</v>
      </c>
      <c r="R579" s="2" t="inlineStr"/>
    </row>
    <row r="580" ht="15" customHeight="1">
      <c r="A580" t="inlineStr">
        <is>
          <t>A 44983-2018</t>
        </is>
      </c>
      <c r="B580" s="1" t="n">
        <v>43360</v>
      </c>
      <c r="C580" s="1" t="n">
        <v>45210</v>
      </c>
      <c r="D580" t="inlineStr">
        <is>
          <t>DALARNAS LÄN</t>
        </is>
      </c>
      <c r="E580" t="inlineStr">
        <is>
          <t>MORA</t>
        </is>
      </c>
      <c r="G580" t="n">
        <v>5.9</v>
      </c>
      <c r="H580" t="n">
        <v>0</v>
      </c>
      <c r="I580" t="n">
        <v>0</v>
      </c>
      <c r="J580" t="n">
        <v>0</v>
      </c>
      <c r="K580" t="n">
        <v>0</v>
      </c>
      <c r="L580" t="n">
        <v>0</v>
      </c>
      <c r="M580" t="n">
        <v>0</v>
      </c>
      <c r="N580" t="n">
        <v>0</v>
      </c>
      <c r="O580" t="n">
        <v>0</v>
      </c>
      <c r="P580" t="n">
        <v>0</v>
      </c>
      <c r="Q580" t="n">
        <v>0</v>
      </c>
      <c r="R580" s="2" t="inlineStr"/>
    </row>
    <row r="581" ht="15" customHeight="1">
      <c r="A581" t="inlineStr">
        <is>
          <t>A 44496-2018</t>
        </is>
      </c>
      <c r="B581" s="1" t="n">
        <v>43361</v>
      </c>
      <c r="C581" s="1" t="n">
        <v>45210</v>
      </c>
      <c r="D581" t="inlineStr">
        <is>
          <t>DALARNAS LÄN</t>
        </is>
      </c>
      <c r="E581" t="inlineStr">
        <is>
          <t>RÄTTVIK</t>
        </is>
      </c>
      <c r="G581" t="n">
        <v>1.4</v>
      </c>
      <c r="H581" t="n">
        <v>0</v>
      </c>
      <c r="I581" t="n">
        <v>0</v>
      </c>
      <c r="J581" t="n">
        <v>0</v>
      </c>
      <c r="K581" t="n">
        <v>0</v>
      </c>
      <c r="L581" t="n">
        <v>0</v>
      </c>
      <c r="M581" t="n">
        <v>0</v>
      </c>
      <c r="N581" t="n">
        <v>0</v>
      </c>
      <c r="O581" t="n">
        <v>0</v>
      </c>
      <c r="P581" t="n">
        <v>0</v>
      </c>
      <c r="Q581" t="n">
        <v>0</v>
      </c>
      <c r="R581" s="2" t="inlineStr"/>
    </row>
    <row r="582" ht="15" customHeight="1">
      <c r="A582" t="inlineStr">
        <is>
          <t>A 45856-2018</t>
        </is>
      </c>
      <c r="B582" s="1" t="n">
        <v>43362</v>
      </c>
      <c r="C582" s="1" t="n">
        <v>45210</v>
      </c>
      <c r="D582" t="inlineStr">
        <is>
          <t>DALARNAS LÄN</t>
        </is>
      </c>
      <c r="E582" t="inlineStr">
        <is>
          <t>RÄTTVIK</t>
        </is>
      </c>
      <c r="G582" t="n">
        <v>1.5</v>
      </c>
      <c r="H582" t="n">
        <v>0</v>
      </c>
      <c r="I582" t="n">
        <v>0</v>
      </c>
      <c r="J582" t="n">
        <v>0</v>
      </c>
      <c r="K582" t="n">
        <v>0</v>
      </c>
      <c r="L582" t="n">
        <v>0</v>
      </c>
      <c r="M582" t="n">
        <v>0</v>
      </c>
      <c r="N582" t="n">
        <v>0</v>
      </c>
      <c r="O582" t="n">
        <v>0</v>
      </c>
      <c r="P582" t="n">
        <v>0</v>
      </c>
      <c r="Q582" t="n">
        <v>0</v>
      </c>
      <c r="R582" s="2" t="inlineStr"/>
    </row>
    <row r="583" ht="15" customHeight="1">
      <c r="A583" t="inlineStr">
        <is>
          <t>A 45887-2018</t>
        </is>
      </c>
      <c r="B583" s="1" t="n">
        <v>43362</v>
      </c>
      <c r="C583" s="1" t="n">
        <v>45210</v>
      </c>
      <c r="D583" t="inlineStr">
        <is>
          <t>DALARNAS LÄN</t>
        </is>
      </c>
      <c r="E583" t="inlineStr">
        <is>
          <t>RÄTTVIK</t>
        </is>
      </c>
      <c r="G583" t="n">
        <v>1.2</v>
      </c>
      <c r="H583" t="n">
        <v>0</v>
      </c>
      <c r="I583" t="n">
        <v>0</v>
      </c>
      <c r="J583" t="n">
        <v>0</v>
      </c>
      <c r="K583" t="n">
        <v>0</v>
      </c>
      <c r="L583" t="n">
        <v>0</v>
      </c>
      <c r="M583" t="n">
        <v>0</v>
      </c>
      <c r="N583" t="n">
        <v>0</v>
      </c>
      <c r="O583" t="n">
        <v>0</v>
      </c>
      <c r="P583" t="n">
        <v>0</v>
      </c>
      <c r="Q583" t="n">
        <v>0</v>
      </c>
      <c r="R583" s="2" t="inlineStr"/>
    </row>
    <row r="584" ht="15" customHeight="1">
      <c r="A584" t="inlineStr">
        <is>
          <t>A 45834-2018</t>
        </is>
      </c>
      <c r="B584" s="1" t="n">
        <v>43362</v>
      </c>
      <c r="C584" s="1" t="n">
        <v>45210</v>
      </c>
      <c r="D584" t="inlineStr">
        <is>
          <t>DALARNAS LÄN</t>
        </is>
      </c>
      <c r="E584" t="inlineStr">
        <is>
          <t>RÄTTVIK</t>
        </is>
      </c>
      <c r="G584" t="n">
        <v>3.4</v>
      </c>
      <c r="H584" t="n">
        <v>0</v>
      </c>
      <c r="I584" t="n">
        <v>0</v>
      </c>
      <c r="J584" t="n">
        <v>0</v>
      </c>
      <c r="K584" t="n">
        <v>0</v>
      </c>
      <c r="L584" t="n">
        <v>0</v>
      </c>
      <c r="M584" t="n">
        <v>0</v>
      </c>
      <c r="N584" t="n">
        <v>0</v>
      </c>
      <c r="O584" t="n">
        <v>0</v>
      </c>
      <c r="P584" t="n">
        <v>0</v>
      </c>
      <c r="Q584" t="n">
        <v>0</v>
      </c>
      <c r="R584" s="2" t="inlineStr"/>
    </row>
    <row r="585" ht="15" customHeight="1">
      <c r="A585" t="inlineStr">
        <is>
          <t>A 45878-2018</t>
        </is>
      </c>
      <c r="B585" s="1" t="n">
        <v>43362</v>
      </c>
      <c r="C585" s="1" t="n">
        <v>45210</v>
      </c>
      <c r="D585" t="inlineStr">
        <is>
          <t>DALARNAS LÄN</t>
        </is>
      </c>
      <c r="E585" t="inlineStr">
        <is>
          <t>RÄTTVIK</t>
        </is>
      </c>
      <c r="G585" t="n">
        <v>1.4</v>
      </c>
      <c r="H585" t="n">
        <v>0</v>
      </c>
      <c r="I585" t="n">
        <v>0</v>
      </c>
      <c r="J585" t="n">
        <v>0</v>
      </c>
      <c r="K585" t="n">
        <v>0</v>
      </c>
      <c r="L585" t="n">
        <v>0</v>
      </c>
      <c r="M585" t="n">
        <v>0</v>
      </c>
      <c r="N585" t="n">
        <v>0</v>
      </c>
      <c r="O585" t="n">
        <v>0</v>
      </c>
      <c r="P585" t="n">
        <v>0</v>
      </c>
      <c r="Q585" t="n">
        <v>0</v>
      </c>
      <c r="R585" s="2" t="inlineStr"/>
    </row>
    <row r="586" ht="15" customHeight="1">
      <c r="A586" t="inlineStr">
        <is>
          <t>A 45680-2018</t>
        </is>
      </c>
      <c r="B586" s="1" t="n">
        <v>43362</v>
      </c>
      <c r="C586" s="1" t="n">
        <v>45210</v>
      </c>
      <c r="D586" t="inlineStr">
        <is>
          <t>DALARNAS LÄN</t>
        </is>
      </c>
      <c r="E586" t="inlineStr">
        <is>
          <t>LEKSAND</t>
        </is>
      </c>
      <c r="G586" t="n">
        <v>1.5</v>
      </c>
      <c r="H586" t="n">
        <v>0</v>
      </c>
      <c r="I586" t="n">
        <v>0</v>
      </c>
      <c r="J586" t="n">
        <v>0</v>
      </c>
      <c r="K586" t="n">
        <v>0</v>
      </c>
      <c r="L586" t="n">
        <v>0</v>
      </c>
      <c r="M586" t="n">
        <v>0</v>
      </c>
      <c r="N586" t="n">
        <v>0</v>
      </c>
      <c r="O586" t="n">
        <v>0</v>
      </c>
      <c r="P586" t="n">
        <v>0</v>
      </c>
      <c r="Q586" t="n">
        <v>0</v>
      </c>
      <c r="R586" s="2" t="inlineStr"/>
    </row>
    <row r="587" ht="15" customHeight="1">
      <c r="A587" t="inlineStr">
        <is>
          <t>A 45612-2018</t>
        </is>
      </c>
      <c r="B587" s="1" t="n">
        <v>43363</v>
      </c>
      <c r="C587" s="1" t="n">
        <v>45210</v>
      </c>
      <c r="D587" t="inlineStr">
        <is>
          <t>DALARNAS LÄN</t>
        </is>
      </c>
      <c r="E587" t="inlineStr">
        <is>
          <t>LUDVIKA</t>
        </is>
      </c>
      <c r="G587" t="n">
        <v>1.5</v>
      </c>
      <c r="H587" t="n">
        <v>0</v>
      </c>
      <c r="I587" t="n">
        <v>0</v>
      </c>
      <c r="J587" t="n">
        <v>0</v>
      </c>
      <c r="K587" t="n">
        <v>0</v>
      </c>
      <c r="L587" t="n">
        <v>0</v>
      </c>
      <c r="M587" t="n">
        <v>0</v>
      </c>
      <c r="N587" t="n">
        <v>0</v>
      </c>
      <c r="O587" t="n">
        <v>0</v>
      </c>
      <c r="P587" t="n">
        <v>0</v>
      </c>
      <c r="Q587" t="n">
        <v>0</v>
      </c>
      <c r="R587" s="2" t="inlineStr"/>
    </row>
    <row r="588" ht="15" customHeight="1">
      <c r="A588" t="inlineStr">
        <is>
          <t>A 46347-2018</t>
        </is>
      </c>
      <c r="B588" s="1" t="n">
        <v>43364</v>
      </c>
      <c r="C588" s="1" t="n">
        <v>45210</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45676-2018</t>
        </is>
      </c>
      <c r="B589" s="1" t="n">
        <v>43364</v>
      </c>
      <c r="C589" s="1" t="n">
        <v>45210</v>
      </c>
      <c r="D589" t="inlineStr">
        <is>
          <t>DALARNAS LÄN</t>
        </is>
      </c>
      <c r="E589" t="inlineStr">
        <is>
          <t>ORSA</t>
        </is>
      </c>
      <c r="G589" t="n">
        <v>0.5</v>
      </c>
      <c r="H589" t="n">
        <v>0</v>
      </c>
      <c r="I589" t="n">
        <v>0</v>
      </c>
      <c r="J589" t="n">
        <v>0</v>
      </c>
      <c r="K589" t="n">
        <v>0</v>
      </c>
      <c r="L589" t="n">
        <v>0</v>
      </c>
      <c r="M589" t="n">
        <v>0</v>
      </c>
      <c r="N589" t="n">
        <v>0</v>
      </c>
      <c r="O589" t="n">
        <v>0</v>
      </c>
      <c r="P589" t="n">
        <v>0</v>
      </c>
      <c r="Q589" t="n">
        <v>0</v>
      </c>
      <c r="R589" s="2" t="inlineStr"/>
    </row>
    <row r="590" ht="15" customHeight="1">
      <c r="A590" t="inlineStr">
        <is>
          <t>A 46866-2018</t>
        </is>
      </c>
      <c r="B590" s="1" t="n">
        <v>43367</v>
      </c>
      <c r="C590" s="1" t="n">
        <v>45210</v>
      </c>
      <c r="D590" t="inlineStr">
        <is>
          <t>DALARNAS LÄN</t>
        </is>
      </c>
      <c r="E590" t="inlineStr">
        <is>
          <t>RÄTTVIK</t>
        </is>
      </c>
      <c r="G590" t="n">
        <v>1.3</v>
      </c>
      <c r="H590" t="n">
        <v>0</v>
      </c>
      <c r="I590" t="n">
        <v>0</v>
      </c>
      <c r="J590" t="n">
        <v>0</v>
      </c>
      <c r="K590" t="n">
        <v>0</v>
      </c>
      <c r="L590" t="n">
        <v>0</v>
      </c>
      <c r="M590" t="n">
        <v>0</v>
      </c>
      <c r="N590" t="n">
        <v>0</v>
      </c>
      <c r="O590" t="n">
        <v>0</v>
      </c>
      <c r="P590" t="n">
        <v>0</v>
      </c>
      <c r="Q590" t="n">
        <v>0</v>
      </c>
      <c r="R590" s="2" t="inlineStr"/>
    </row>
    <row r="591" ht="15" customHeight="1">
      <c r="A591" t="inlineStr">
        <is>
          <t>A 48485-2018</t>
        </is>
      </c>
      <c r="B591" s="1" t="n">
        <v>43368</v>
      </c>
      <c r="C591" s="1" t="n">
        <v>45210</v>
      </c>
      <c r="D591" t="inlineStr">
        <is>
          <t>DALARNAS LÄN</t>
        </is>
      </c>
      <c r="E591" t="inlineStr">
        <is>
          <t>MORA</t>
        </is>
      </c>
      <c r="G591" t="n">
        <v>3.7</v>
      </c>
      <c r="H591" t="n">
        <v>0</v>
      </c>
      <c r="I591" t="n">
        <v>0</v>
      </c>
      <c r="J591" t="n">
        <v>0</v>
      </c>
      <c r="K591" t="n">
        <v>0</v>
      </c>
      <c r="L591" t="n">
        <v>0</v>
      </c>
      <c r="M591" t="n">
        <v>0</v>
      </c>
      <c r="N591" t="n">
        <v>0</v>
      </c>
      <c r="O591" t="n">
        <v>0</v>
      </c>
      <c r="P591" t="n">
        <v>0</v>
      </c>
      <c r="Q591" t="n">
        <v>0</v>
      </c>
      <c r="R591" s="2" t="inlineStr"/>
    </row>
    <row r="592" ht="15" customHeight="1">
      <c r="A592" t="inlineStr">
        <is>
          <t>A 47211-2018</t>
        </is>
      </c>
      <c r="B592" s="1" t="n">
        <v>43369</v>
      </c>
      <c r="C592" s="1" t="n">
        <v>45210</v>
      </c>
      <c r="D592" t="inlineStr">
        <is>
          <t>DALARNAS LÄN</t>
        </is>
      </c>
      <c r="E592" t="inlineStr">
        <is>
          <t>MALUNG-SÄLEN</t>
        </is>
      </c>
      <c r="G592" t="n">
        <v>0.5</v>
      </c>
      <c r="H592" t="n">
        <v>0</v>
      </c>
      <c r="I592" t="n">
        <v>0</v>
      </c>
      <c r="J592" t="n">
        <v>0</v>
      </c>
      <c r="K592" t="n">
        <v>0</v>
      </c>
      <c r="L592" t="n">
        <v>0</v>
      </c>
      <c r="M592" t="n">
        <v>0</v>
      </c>
      <c r="N592" t="n">
        <v>0</v>
      </c>
      <c r="O592" t="n">
        <v>0</v>
      </c>
      <c r="P592" t="n">
        <v>0</v>
      </c>
      <c r="Q592" t="n">
        <v>0</v>
      </c>
      <c r="R592" s="2" t="inlineStr"/>
    </row>
    <row r="593" ht="15" customHeight="1">
      <c r="A593" t="inlineStr">
        <is>
          <t>A 47258-2018</t>
        </is>
      </c>
      <c r="B593" s="1" t="n">
        <v>43369</v>
      </c>
      <c r="C593" s="1" t="n">
        <v>45210</v>
      </c>
      <c r="D593" t="inlineStr">
        <is>
          <t>DALARNAS LÄN</t>
        </is>
      </c>
      <c r="E593" t="inlineStr">
        <is>
          <t>FALUN</t>
        </is>
      </c>
      <c r="G593" t="n">
        <v>0.6</v>
      </c>
      <c r="H593" t="n">
        <v>0</v>
      </c>
      <c r="I593" t="n">
        <v>0</v>
      </c>
      <c r="J593" t="n">
        <v>0</v>
      </c>
      <c r="K593" t="n">
        <v>0</v>
      </c>
      <c r="L593" t="n">
        <v>0</v>
      </c>
      <c r="M593" t="n">
        <v>0</v>
      </c>
      <c r="N593" t="n">
        <v>0</v>
      </c>
      <c r="O593" t="n">
        <v>0</v>
      </c>
      <c r="P593" t="n">
        <v>0</v>
      </c>
      <c r="Q593" t="n">
        <v>0</v>
      </c>
      <c r="R593" s="2" t="inlineStr"/>
    </row>
    <row r="594" ht="15" customHeight="1">
      <c r="A594" t="inlineStr">
        <is>
          <t>A 47657-2018</t>
        </is>
      </c>
      <c r="B594" s="1" t="n">
        <v>43369</v>
      </c>
      <c r="C594" s="1" t="n">
        <v>45210</v>
      </c>
      <c r="D594" t="inlineStr">
        <is>
          <t>DALARNAS LÄN</t>
        </is>
      </c>
      <c r="E594" t="inlineStr">
        <is>
          <t>RÄTTVIK</t>
        </is>
      </c>
      <c r="G594" t="n">
        <v>0.9</v>
      </c>
      <c r="H594" t="n">
        <v>0</v>
      </c>
      <c r="I594" t="n">
        <v>0</v>
      </c>
      <c r="J594" t="n">
        <v>0</v>
      </c>
      <c r="K594" t="n">
        <v>0</v>
      </c>
      <c r="L594" t="n">
        <v>0</v>
      </c>
      <c r="M594" t="n">
        <v>0</v>
      </c>
      <c r="N594" t="n">
        <v>0</v>
      </c>
      <c r="O594" t="n">
        <v>0</v>
      </c>
      <c r="P594" t="n">
        <v>0</v>
      </c>
      <c r="Q594" t="n">
        <v>0</v>
      </c>
      <c r="R594" s="2" t="inlineStr"/>
    </row>
    <row r="595" ht="15" customHeight="1">
      <c r="A595" t="inlineStr">
        <is>
          <t>A 48004-2018</t>
        </is>
      </c>
      <c r="B595" s="1" t="n">
        <v>43371</v>
      </c>
      <c r="C595" s="1" t="n">
        <v>45210</v>
      </c>
      <c r="D595" t="inlineStr">
        <is>
          <t>DALARNAS LÄN</t>
        </is>
      </c>
      <c r="E595" t="inlineStr">
        <is>
          <t>ORSA</t>
        </is>
      </c>
      <c r="G595" t="n">
        <v>22.7</v>
      </c>
      <c r="H595" t="n">
        <v>0</v>
      </c>
      <c r="I595" t="n">
        <v>0</v>
      </c>
      <c r="J595" t="n">
        <v>0</v>
      </c>
      <c r="K595" t="n">
        <v>0</v>
      </c>
      <c r="L595" t="n">
        <v>0</v>
      </c>
      <c r="M595" t="n">
        <v>0</v>
      </c>
      <c r="N595" t="n">
        <v>0</v>
      </c>
      <c r="O595" t="n">
        <v>0</v>
      </c>
      <c r="P595" t="n">
        <v>0</v>
      </c>
      <c r="Q595" t="n">
        <v>0</v>
      </c>
      <c r="R595" s="2" t="inlineStr"/>
    </row>
    <row r="596" ht="15" customHeight="1">
      <c r="A596" t="inlineStr">
        <is>
          <t>A 59521-2018</t>
        </is>
      </c>
      <c r="B596" s="1" t="n">
        <v>43371</v>
      </c>
      <c r="C596" s="1" t="n">
        <v>45210</v>
      </c>
      <c r="D596" t="inlineStr">
        <is>
          <t>DALARNAS LÄN</t>
        </is>
      </c>
      <c r="E596" t="inlineStr">
        <is>
          <t>MORA</t>
        </is>
      </c>
      <c r="F596" t="inlineStr">
        <is>
          <t>Bergvik skog öst AB</t>
        </is>
      </c>
      <c r="G596" t="n">
        <v>4.3</v>
      </c>
      <c r="H596" t="n">
        <v>0</v>
      </c>
      <c r="I596" t="n">
        <v>0</v>
      </c>
      <c r="J596" t="n">
        <v>0</v>
      </c>
      <c r="K596" t="n">
        <v>0</v>
      </c>
      <c r="L596" t="n">
        <v>0</v>
      </c>
      <c r="M596" t="n">
        <v>0</v>
      </c>
      <c r="N596" t="n">
        <v>0</v>
      </c>
      <c r="O596" t="n">
        <v>0</v>
      </c>
      <c r="P596" t="n">
        <v>0</v>
      </c>
      <c r="Q596" t="n">
        <v>0</v>
      </c>
      <c r="R596" s="2" t="inlineStr"/>
    </row>
    <row r="597" ht="15" customHeight="1">
      <c r="A597" t="inlineStr">
        <is>
          <t>A 59670-2018</t>
        </is>
      </c>
      <c r="B597" s="1" t="n">
        <v>43371</v>
      </c>
      <c r="C597" s="1" t="n">
        <v>45210</v>
      </c>
      <c r="D597" t="inlineStr">
        <is>
          <t>DALARNAS LÄN</t>
        </is>
      </c>
      <c r="E597" t="inlineStr">
        <is>
          <t>MALUNG-SÄLEN</t>
        </is>
      </c>
      <c r="F597" t="inlineStr">
        <is>
          <t>Bergvik skog öst AB</t>
        </is>
      </c>
      <c r="G597" t="n">
        <v>13.3</v>
      </c>
      <c r="H597" t="n">
        <v>0</v>
      </c>
      <c r="I597" t="n">
        <v>0</v>
      </c>
      <c r="J597" t="n">
        <v>0</v>
      </c>
      <c r="K597" t="n">
        <v>0</v>
      </c>
      <c r="L597" t="n">
        <v>0</v>
      </c>
      <c r="M597" t="n">
        <v>0</v>
      </c>
      <c r="N597" t="n">
        <v>0</v>
      </c>
      <c r="O597" t="n">
        <v>0</v>
      </c>
      <c r="P597" t="n">
        <v>0</v>
      </c>
      <c r="Q597" t="n">
        <v>0</v>
      </c>
      <c r="R597" s="2" t="inlineStr"/>
    </row>
    <row r="598" ht="15" customHeight="1">
      <c r="A598" t="inlineStr">
        <is>
          <t>A 59526-2018</t>
        </is>
      </c>
      <c r="B598" s="1" t="n">
        <v>43371</v>
      </c>
      <c r="C598" s="1" t="n">
        <v>45210</v>
      </c>
      <c r="D598" t="inlineStr">
        <is>
          <t>DALARNAS LÄN</t>
        </is>
      </c>
      <c r="E598" t="inlineStr">
        <is>
          <t>MORA</t>
        </is>
      </c>
      <c r="F598" t="inlineStr">
        <is>
          <t>Bergvik skog öst AB</t>
        </is>
      </c>
      <c r="G598" t="n">
        <v>5.1</v>
      </c>
      <c r="H598" t="n">
        <v>0</v>
      </c>
      <c r="I598" t="n">
        <v>0</v>
      </c>
      <c r="J598" t="n">
        <v>0</v>
      </c>
      <c r="K598" t="n">
        <v>0</v>
      </c>
      <c r="L598" t="n">
        <v>0</v>
      </c>
      <c r="M598" t="n">
        <v>0</v>
      </c>
      <c r="N598" t="n">
        <v>0</v>
      </c>
      <c r="O598" t="n">
        <v>0</v>
      </c>
      <c r="P598" t="n">
        <v>0</v>
      </c>
      <c r="Q598" t="n">
        <v>0</v>
      </c>
      <c r="R598" s="2" t="inlineStr"/>
    </row>
    <row r="599" ht="15" customHeight="1">
      <c r="A599" t="inlineStr">
        <is>
          <t>A 48731-2018</t>
        </is>
      </c>
      <c r="B599" s="1" t="n">
        <v>43373</v>
      </c>
      <c r="C599" s="1" t="n">
        <v>45210</v>
      </c>
      <c r="D599" t="inlineStr">
        <is>
          <t>DALARNAS LÄN</t>
        </is>
      </c>
      <c r="E599" t="inlineStr">
        <is>
          <t>RÄTTVIK</t>
        </is>
      </c>
      <c r="G599" t="n">
        <v>1.5</v>
      </c>
      <c r="H599" t="n">
        <v>0</v>
      </c>
      <c r="I599" t="n">
        <v>0</v>
      </c>
      <c r="J599" t="n">
        <v>0</v>
      </c>
      <c r="K599" t="n">
        <v>0</v>
      </c>
      <c r="L599" t="n">
        <v>0</v>
      </c>
      <c r="M599" t="n">
        <v>0</v>
      </c>
      <c r="N599" t="n">
        <v>0</v>
      </c>
      <c r="O599" t="n">
        <v>0</v>
      </c>
      <c r="P599" t="n">
        <v>0</v>
      </c>
      <c r="Q599" t="n">
        <v>0</v>
      </c>
      <c r="R599" s="2" t="inlineStr"/>
    </row>
    <row r="600" ht="15" customHeight="1">
      <c r="A600" t="inlineStr">
        <is>
          <t>A 49404-2018</t>
        </is>
      </c>
      <c r="B600" s="1" t="n">
        <v>43374</v>
      </c>
      <c r="C600" s="1" t="n">
        <v>45210</v>
      </c>
      <c r="D600" t="inlineStr">
        <is>
          <t>DALARNAS LÄN</t>
        </is>
      </c>
      <c r="E600" t="inlineStr">
        <is>
          <t>MORA</t>
        </is>
      </c>
      <c r="G600" t="n">
        <v>4.9</v>
      </c>
      <c r="H600" t="n">
        <v>0</v>
      </c>
      <c r="I600" t="n">
        <v>0</v>
      </c>
      <c r="J600" t="n">
        <v>0</v>
      </c>
      <c r="K600" t="n">
        <v>0</v>
      </c>
      <c r="L600" t="n">
        <v>0</v>
      </c>
      <c r="M600" t="n">
        <v>0</v>
      </c>
      <c r="N600" t="n">
        <v>0</v>
      </c>
      <c r="O600" t="n">
        <v>0</v>
      </c>
      <c r="P600" t="n">
        <v>0</v>
      </c>
      <c r="Q600" t="n">
        <v>0</v>
      </c>
      <c r="R600" s="2" t="inlineStr"/>
    </row>
    <row r="601" ht="15" customHeight="1">
      <c r="A601" t="inlineStr">
        <is>
          <t>A 59680-2018</t>
        </is>
      </c>
      <c r="B601" s="1" t="n">
        <v>43374</v>
      </c>
      <c r="C601" s="1" t="n">
        <v>45210</v>
      </c>
      <c r="D601" t="inlineStr">
        <is>
          <t>DALARNAS LÄN</t>
        </is>
      </c>
      <c r="E601" t="inlineStr">
        <is>
          <t>HEDEMORA</t>
        </is>
      </c>
      <c r="G601" t="n">
        <v>1.2</v>
      </c>
      <c r="H601" t="n">
        <v>0</v>
      </c>
      <c r="I601" t="n">
        <v>0</v>
      </c>
      <c r="J601" t="n">
        <v>0</v>
      </c>
      <c r="K601" t="n">
        <v>0</v>
      </c>
      <c r="L601" t="n">
        <v>0</v>
      </c>
      <c r="M601" t="n">
        <v>0</v>
      </c>
      <c r="N601" t="n">
        <v>0</v>
      </c>
      <c r="O601" t="n">
        <v>0</v>
      </c>
      <c r="P601" t="n">
        <v>0</v>
      </c>
      <c r="Q601" t="n">
        <v>0</v>
      </c>
      <c r="R601" s="2" t="inlineStr"/>
    </row>
    <row r="602" ht="15" customHeight="1">
      <c r="A602" t="inlineStr">
        <is>
          <t>A 59675-2018</t>
        </is>
      </c>
      <c r="B602" s="1" t="n">
        <v>43374</v>
      </c>
      <c r="C602" s="1" t="n">
        <v>45210</v>
      </c>
      <c r="D602" t="inlineStr">
        <is>
          <t>DALARNAS LÄN</t>
        </is>
      </c>
      <c r="E602" t="inlineStr">
        <is>
          <t>ORSA</t>
        </is>
      </c>
      <c r="F602" t="inlineStr">
        <is>
          <t>Bergvik skog öst AB</t>
        </is>
      </c>
      <c r="G602" t="n">
        <v>2.7</v>
      </c>
      <c r="H602" t="n">
        <v>0</v>
      </c>
      <c r="I602" t="n">
        <v>0</v>
      </c>
      <c r="J602" t="n">
        <v>0</v>
      </c>
      <c r="K602" t="n">
        <v>0</v>
      </c>
      <c r="L602" t="n">
        <v>0</v>
      </c>
      <c r="M602" t="n">
        <v>0</v>
      </c>
      <c r="N602" t="n">
        <v>0</v>
      </c>
      <c r="O602" t="n">
        <v>0</v>
      </c>
      <c r="P602" t="n">
        <v>0</v>
      </c>
      <c r="Q602" t="n">
        <v>0</v>
      </c>
      <c r="R602" s="2" t="inlineStr"/>
    </row>
    <row r="603" ht="15" customHeight="1">
      <c r="A603" t="inlineStr">
        <is>
          <t>A 59678-2018</t>
        </is>
      </c>
      <c r="B603" s="1" t="n">
        <v>43374</v>
      </c>
      <c r="C603" s="1" t="n">
        <v>45210</v>
      </c>
      <c r="D603" t="inlineStr">
        <is>
          <t>DALARNAS LÄN</t>
        </is>
      </c>
      <c r="E603" t="inlineStr">
        <is>
          <t>MORA</t>
        </is>
      </c>
      <c r="G603" t="n">
        <v>1.8</v>
      </c>
      <c r="H603" t="n">
        <v>0</v>
      </c>
      <c r="I603" t="n">
        <v>0</v>
      </c>
      <c r="J603" t="n">
        <v>0</v>
      </c>
      <c r="K603" t="n">
        <v>0</v>
      </c>
      <c r="L603" t="n">
        <v>0</v>
      </c>
      <c r="M603" t="n">
        <v>0</v>
      </c>
      <c r="N603" t="n">
        <v>0</v>
      </c>
      <c r="O603" t="n">
        <v>0</v>
      </c>
      <c r="P603" t="n">
        <v>0</v>
      </c>
      <c r="Q603" t="n">
        <v>0</v>
      </c>
      <c r="R603" s="2" t="inlineStr"/>
    </row>
    <row r="604" ht="15" customHeight="1">
      <c r="A604" t="inlineStr">
        <is>
          <t>A 59687-2018</t>
        </is>
      </c>
      <c r="B604" s="1" t="n">
        <v>43375</v>
      </c>
      <c r="C604" s="1" t="n">
        <v>45210</v>
      </c>
      <c r="D604" t="inlineStr">
        <is>
          <t>DALARNAS LÄN</t>
        </is>
      </c>
      <c r="E604" t="inlineStr">
        <is>
          <t>MALUNG-SÄLEN</t>
        </is>
      </c>
      <c r="G604" t="n">
        <v>0.6</v>
      </c>
      <c r="H604" t="n">
        <v>0</v>
      </c>
      <c r="I604" t="n">
        <v>0</v>
      </c>
      <c r="J604" t="n">
        <v>0</v>
      </c>
      <c r="K604" t="n">
        <v>0</v>
      </c>
      <c r="L604" t="n">
        <v>0</v>
      </c>
      <c r="M604" t="n">
        <v>0</v>
      </c>
      <c r="N604" t="n">
        <v>0</v>
      </c>
      <c r="O604" t="n">
        <v>0</v>
      </c>
      <c r="P604" t="n">
        <v>0</v>
      </c>
      <c r="Q604" t="n">
        <v>0</v>
      </c>
      <c r="R604" s="2" t="inlineStr"/>
    </row>
    <row r="605" ht="15" customHeight="1">
      <c r="A605" t="inlineStr">
        <is>
          <t>A 59682-2018</t>
        </is>
      </c>
      <c r="B605" s="1" t="n">
        <v>43375</v>
      </c>
      <c r="C605" s="1" t="n">
        <v>45210</v>
      </c>
      <c r="D605" t="inlineStr">
        <is>
          <t>DALARNAS LÄN</t>
        </is>
      </c>
      <c r="E605" t="inlineStr">
        <is>
          <t>MALUNG-SÄLEN</t>
        </is>
      </c>
      <c r="F605" t="inlineStr">
        <is>
          <t>Bergvik skog öst AB</t>
        </is>
      </c>
      <c r="G605" t="n">
        <v>0.8</v>
      </c>
      <c r="H605" t="n">
        <v>0</v>
      </c>
      <c r="I605" t="n">
        <v>0</v>
      </c>
      <c r="J605" t="n">
        <v>0</v>
      </c>
      <c r="K605" t="n">
        <v>0</v>
      </c>
      <c r="L605" t="n">
        <v>0</v>
      </c>
      <c r="M605" t="n">
        <v>0</v>
      </c>
      <c r="N605" t="n">
        <v>0</v>
      </c>
      <c r="O605" t="n">
        <v>0</v>
      </c>
      <c r="P605" t="n">
        <v>0</v>
      </c>
      <c r="Q605" t="n">
        <v>0</v>
      </c>
      <c r="R605" s="2" t="inlineStr"/>
    </row>
    <row r="606" ht="15" customHeight="1">
      <c r="A606" t="inlineStr">
        <is>
          <t>A 59703-2018</t>
        </is>
      </c>
      <c r="B606" s="1" t="n">
        <v>43376</v>
      </c>
      <c r="C606" s="1" t="n">
        <v>45210</v>
      </c>
      <c r="D606" t="inlineStr">
        <is>
          <t>DALARNAS LÄN</t>
        </is>
      </c>
      <c r="E606" t="inlineStr">
        <is>
          <t>ORSA</t>
        </is>
      </c>
      <c r="F606" t="inlineStr">
        <is>
          <t>Bergvik skog öst AB</t>
        </is>
      </c>
      <c r="G606" t="n">
        <v>1.6</v>
      </c>
      <c r="H606" t="n">
        <v>0</v>
      </c>
      <c r="I606" t="n">
        <v>0</v>
      </c>
      <c r="J606" t="n">
        <v>0</v>
      </c>
      <c r="K606" t="n">
        <v>0</v>
      </c>
      <c r="L606" t="n">
        <v>0</v>
      </c>
      <c r="M606" t="n">
        <v>0</v>
      </c>
      <c r="N606" t="n">
        <v>0</v>
      </c>
      <c r="O606" t="n">
        <v>0</v>
      </c>
      <c r="P606" t="n">
        <v>0</v>
      </c>
      <c r="Q606" t="n">
        <v>0</v>
      </c>
      <c r="R606" s="2" t="inlineStr"/>
    </row>
    <row r="607" ht="15" customHeight="1">
      <c r="A607" t="inlineStr">
        <is>
          <t>A 49376-2018</t>
        </is>
      </c>
      <c r="B607" s="1" t="n">
        <v>43376</v>
      </c>
      <c r="C607" s="1" t="n">
        <v>45210</v>
      </c>
      <c r="D607" t="inlineStr">
        <is>
          <t>DALARNAS LÄN</t>
        </is>
      </c>
      <c r="E607" t="inlineStr">
        <is>
          <t>HEDEMORA</t>
        </is>
      </c>
      <c r="F607" t="inlineStr">
        <is>
          <t>Sveaskog</t>
        </is>
      </c>
      <c r="G607" t="n">
        <v>1.5</v>
      </c>
      <c r="H607" t="n">
        <v>0</v>
      </c>
      <c r="I607" t="n">
        <v>0</v>
      </c>
      <c r="J607" t="n">
        <v>0</v>
      </c>
      <c r="K607" t="n">
        <v>0</v>
      </c>
      <c r="L607" t="n">
        <v>0</v>
      </c>
      <c r="M607" t="n">
        <v>0</v>
      </c>
      <c r="N607" t="n">
        <v>0</v>
      </c>
      <c r="O607" t="n">
        <v>0</v>
      </c>
      <c r="P607" t="n">
        <v>0</v>
      </c>
      <c r="Q607" t="n">
        <v>0</v>
      </c>
      <c r="R607" s="2" t="inlineStr"/>
    </row>
    <row r="608" ht="15" customHeight="1">
      <c r="A608" t="inlineStr">
        <is>
          <t>A 59714-2018</t>
        </is>
      </c>
      <c r="B608" s="1" t="n">
        <v>43377</v>
      </c>
      <c r="C608" s="1" t="n">
        <v>45210</v>
      </c>
      <c r="D608" t="inlineStr">
        <is>
          <t>DALARNAS LÄN</t>
        </is>
      </c>
      <c r="E608" t="inlineStr">
        <is>
          <t>MORA</t>
        </is>
      </c>
      <c r="G608" t="n">
        <v>1.8</v>
      </c>
      <c r="H608" t="n">
        <v>0</v>
      </c>
      <c r="I608" t="n">
        <v>0</v>
      </c>
      <c r="J608" t="n">
        <v>0</v>
      </c>
      <c r="K608" t="n">
        <v>0</v>
      </c>
      <c r="L608" t="n">
        <v>0</v>
      </c>
      <c r="M608" t="n">
        <v>0</v>
      </c>
      <c r="N608" t="n">
        <v>0</v>
      </c>
      <c r="O608" t="n">
        <v>0</v>
      </c>
      <c r="P608" t="n">
        <v>0</v>
      </c>
      <c r="Q608" t="n">
        <v>0</v>
      </c>
      <c r="R608" s="2" t="inlineStr"/>
    </row>
    <row r="609" ht="15" customHeight="1">
      <c r="A609" t="inlineStr">
        <is>
          <t>A 50093-2018</t>
        </is>
      </c>
      <c r="B609" s="1" t="n">
        <v>43378</v>
      </c>
      <c r="C609" s="1" t="n">
        <v>45210</v>
      </c>
      <c r="D609" t="inlineStr">
        <is>
          <t>DALARNAS LÄN</t>
        </is>
      </c>
      <c r="E609" t="inlineStr">
        <is>
          <t>FALUN</t>
        </is>
      </c>
      <c r="F609" t="inlineStr">
        <is>
          <t>Bergvik skog väst AB</t>
        </is>
      </c>
      <c r="G609" t="n">
        <v>2.3</v>
      </c>
      <c r="H609" t="n">
        <v>0</v>
      </c>
      <c r="I609" t="n">
        <v>0</v>
      </c>
      <c r="J609" t="n">
        <v>0</v>
      </c>
      <c r="K609" t="n">
        <v>0</v>
      </c>
      <c r="L609" t="n">
        <v>0</v>
      </c>
      <c r="M609" t="n">
        <v>0</v>
      </c>
      <c r="N609" t="n">
        <v>0</v>
      </c>
      <c r="O609" t="n">
        <v>0</v>
      </c>
      <c r="P609" t="n">
        <v>0</v>
      </c>
      <c r="Q609" t="n">
        <v>0</v>
      </c>
      <c r="R609" s="2" t="inlineStr"/>
    </row>
    <row r="610" ht="15" customHeight="1">
      <c r="A610" t="inlineStr">
        <is>
          <t>A 51148-2018</t>
        </is>
      </c>
      <c r="B610" s="1" t="n">
        <v>43378</v>
      </c>
      <c r="C610" s="1" t="n">
        <v>45210</v>
      </c>
      <c r="D610" t="inlineStr">
        <is>
          <t>DALARNAS LÄN</t>
        </is>
      </c>
      <c r="E610" t="inlineStr">
        <is>
          <t>RÄTTVIK</t>
        </is>
      </c>
      <c r="G610" t="n">
        <v>1.6</v>
      </c>
      <c r="H610" t="n">
        <v>0</v>
      </c>
      <c r="I610" t="n">
        <v>0</v>
      </c>
      <c r="J610" t="n">
        <v>0</v>
      </c>
      <c r="K610" t="n">
        <v>0</v>
      </c>
      <c r="L610" t="n">
        <v>0</v>
      </c>
      <c r="M610" t="n">
        <v>0</v>
      </c>
      <c r="N610" t="n">
        <v>0</v>
      </c>
      <c r="O610" t="n">
        <v>0</v>
      </c>
      <c r="P610" t="n">
        <v>0</v>
      </c>
      <c r="Q610" t="n">
        <v>0</v>
      </c>
      <c r="R610" s="2" t="inlineStr"/>
    </row>
    <row r="611" ht="15" customHeight="1">
      <c r="A611" t="inlineStr">
        <is>
          <t>A 51582-2018</t>
        </is>
      </c>
      <c r="B611" s="1" t="n">
        <v>43381</v>
      </c>
      <c r="C611" s="1" t="n">
        <v>45210</v>
      </c>
      <c r="D611" t="inlineStr">
        <is>
          <t>DALARNAS LÄN</t>
        </is>
      </c>
      <c r="E611" t="inlineStr">
        <is>
          <t>MALUNG-SÄLEN</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51716-2018</t>
        </is>
      </c>
      <c r="B612" s="1" t="n">
        <v>43381</v>
      </c>
      <c r="C612" s="1" t="n">
        <v>45210</v>
      </c>
      <c r="D612" t="inlineStr">
        <is>
          <t>DALARNAS LÄN</t>
        </is>
      </c>
      <c r="E612" t="inlineStr">
        <is>
          <t>RÄTTVIK</t>
        </is>
      </c>
      <c r="G612" t="n">
        <v>0.6</v>
      </c>
      <c r="H612" t="n">
        <v>0</v>
      </c>
      <c r="I612" t="n">
        <v>0</v>
      </c>
      <c r="J612" t="n">
        <v>0</v>
      </c>
      <c r="K612" t="n">
        <v>0</v>
      </c>
      <c r="L612" t="n">
        <v>0</v>
      </c>
      <c r="M612" t="n">
        <v>0</v>
      </c>
      <c r="N612" t="n">
        <v>0</v>
      </c>
      <c r="O612" t="n">
        <v>0</v>
      </c>
      <c r="P612" t="n">
        <v>0</v>
      </c>
      <c r="Q612" t="n">
        <v>0</v>
      </c>
      <c r="R612" s="2" t="inlineStr"/>
    </row>
    <row r="613" ht="15" customHeight="1">
      <c r="A613" t="inlineStr">
        <is>
          <t>A 59736-2018</t>
        </is>
      </c>
      <c r="B613" s="1" t="n">
        <v>43381</v>
      </c>
      <c r="C613" s="1" t="n">
        <v>45210</v>
      </c>
      <c r="D613" t="inlineStr">
        <is>
          <t>DALARNAS LÄN</t>
        </is>
      </c>
      <c r="E613" t="inlineStr">
        <is>
          <t>ORSA</t>
        </is>
      </c>
      <c r="F613" t="inlineStr">
        <is>
          <t>Bergvik skog öst AB</t>
        </is>
      </c>
      <c r="G613" t="n">
        <v>6.9</v>
      </c>
      <c r="H613" t="n">
        <v>0</v>
      </c>
      <c r="I613" t="n">
        <v>0</v>
      </c>
      <c r="J613" t="n">
        <v>0</v>
      </c>
      <c r="K613" t="n">
        <v>0</v>
      </c>
      <c r="L613" t="n">
        <v>0</v>
      </c>
      <c r="M613" t="n">
        <v>0</v>
      </c>
      <c r="N613" t="n">
        <v>0</v>
      </c>
      <c r="O613" t="n">
        <v>0</v>
      </c>
      <c r="P613" t="n">
        <v>0</v>
      </c>
      <c r="Q613" t="n">
        <v>0</v>
      </c>
      <c r="R613" s="2" t="inlineStr"/>
    </row>
    <row r="614" ht="15" customHeight="1">
      <c r="A614" t="inlineStr">
        <is>
          <t>A 51443-2018</t>
        </is>
      </c>
      <c r="B614" s="1" t="n">
        <v>43381</v>
      </c>
      <c r="C614" s="1" t="n">
        <v>45210</v>
      </c>
      <c r="D614" t="inlineStr">
        <is>
          <t>DALARNAS LÄN</t>
        </is>
      </c>
      <c r="E614" t="inlineStr">
        <is>
          <t>RÄTTVIK</t>
        </is>
      </c>
      <c r="G614" t="n">
        <v>1.4</v>
      </c>
      <c r="H614" t="n">
        <v>0</v>
      </c>
      <c r="I614" t="n">
        <v>0</v>
      </c>
      <c r="J614" t="n">
        <v>0</v>
      </c>
      <c r="K614" t="n">
        <v>0</v>
      </c>
      <c r="L614" t="n">
        <v>0</v>
      </c>
      <c r="M614" t="n">
        <v>0</v>
      </c>
      <c r="N614" t="n">
        <v>0</v>
      </c>
      <c r="O614" t="n">
        <v>0</v>
      </c>
      <c r="P614" t="n">
        <v>0</v>
      </c>
      <c r="Q614" t="n">
        <v>0</v>
      </c>
      <c r="R614" s="2" t="inlineStr"/>
    </row>
    <row r="615" ht="15" customHeight="1">
      <c r="A615" t="inlineStr">
        <is>
          <t>A 59761-2018</t>
        </is>
      </c>
      <c r="B615" s="1" t="n">
        <v>43381</v>
      </c>
      <c r="C615" s="1" t="n">
        <v>45210</v>
      </c>
      <c r="D615" t="inlineStr">
        <is>
          <t>DALARNAS LÄN</t>
        </is>
      </c>
      <c r="E615" t="inlineStr">
        <is>
          <t>ORSA</t>
        </is>
      </c>
      <c r="F615" t="inlineStr">
        <is>
          <t>Bergvik skog öst AB</t>
        </is>
      </c>
      <c r="G615" t="n">
        <v>8.300000000000001</v>
      </c>
      <c r="H615" t="n">
        <v>0</v>
      </c>
      <c r="I615" t="n">
        <v>0</v>
      </c>
      <c r="J615" t="n">
        <v>0</v>
      </c>
      <c r="K615" t="n">
        <v>0</v>
      </c>
      <c r="L615" t="n">
        <v>0</v>
      </c>
      <c r="M615" t="n">
        <v>0</v>
      </c>
      <c r="N615" t="n">
        <v>0</v>
      </c>
      <c r="O615" t="n">
        <v>0</v>
      </c>
      <c r="P615" t="n">
        <v>0</v>
      </c>
      <c r="Q615" t="n">
        <v>0</v>
      </c>
      <c r="R615" s="2" t="inlineStr"/>
    </row>
    <row r="616" ht="15" customHeight="1">
      <c r="A616" t="inlineStr">
        <is>
          <t>A 51090-2018</t>
        </is>
      </c>
      <c r="B616" s="1" t="n">
        <v>43382</v>
      </c>
      <c r="C616" s="1" t="n">
        <v>45210</v>
      </c>
      <c r="D616" t="inlineStr">
        <is>
          <t>DALARNAS LÄN</t>
        </is>
      </c>
      <c r="E616" t="inlineStr">
        <is>
          <t>ÄLVDALEN</t>
        </is>
      </c>
      <c r="G616" t="n">
        <v>0.5</v>
      </c>
      <c r="H616" t="n">
        <v>0</v>
      </c>
      <c r="I616" t="n">
        <v>0</v>
      </c>
      <c r="J616" t="n">
        <v>0</v>
      </c>
      <c r="K616" t="n">
        <v>0</v>
      </c>
      <c r="L616" t="n">
        <v>0</v>
      </c>
      <c r="M616" t="n">
        <v>0</v>
      </c>
      <c r="N616" t="n">
        <v>0</v>
      </c>
      <c r="O616" t="n">
        <v>0</v>
      </c>
      <c r="P616" t="n">
        <v>0</v>
      </c>
      <c r="Q616" t="n">
        <v>0</v>
      </c>
      <c r="R616" s="2" t="inlineStr"/>
    </row>
    <row r="617" ht="15" customHeight="1">
      <c r="A617" t="inlineStr">
        <is>
          <t>A 52848-2018</t>
        </is>
      </c>
      <c r="B617" s="1" t="n">
        <v>43384</v>
      </c>
      <c r="C617" s="1" t="n">
        <v>45210</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52850-2018</t>
        </is>
      </c>
      <c r="B618" s="1" t="n">
        <v>43384</v>
      </c>
      <c r="C618" s="1" t="n">
        <v>45210</v>
      </c>
      <c r="D618" t="inlineStr">
        <is>
          <t>DALARNAS LÄN</t>
        </is>
      </c>
      <c r="E618" t="inlineStr">
        <is>
          <t>HEDEMORA</t>
        </is>
      </c>
      <c r="G618" t="n">
        <v>1.6</v>
      </c>
      <c r="H618" t="n">
        <v>0</v>
      </c>
      <c r="I618" t="n">
        <v>0</v>
      </c>
      <c r="J618" t="n">
        <v>0</v>
      </c>
      <c r="K618" t="n">
        <v>0</v>
      </c>
      <c r="L618" t="n">
        <v>0</v>
      </c>
      <c r="M618" t="n">
        <v>0</v>
      </c>
      <c r="N618" t="n">
        <v>0</v>
      </c>
      <c r="O618" t="n">
        <v>0</v>
      </c>
      <c r="P618" t="n">
        <v>0</v>
      </c>
      <c r="Q618" t="n">
        <v>0</v>
      </c>
      <c r="R618" s="2" t="inlineStr"/>
    </row>
    <row r="619" ht="15" customHeight="1">
      <c r="A619" t="inlineStr">
        <is>
          <t>A 61742-2018</t>
        </is>
      </c>
      <c r="B619" s="1" t="n">
        <v>43384</v>
      </c>
      <c r="C619" s="1" t="n">
        <v>45210</v>
      </c>
      <c r="D619" t="inlineStr">
        <is>
          <t>DALARNAS LÄN</t>
        </is>
      </c>
      <c r="E619" t="inlineStr">
        <is>
          <t>LUDVIKA</t>
        </is>
      </c>
      <c r="F619" t="inlineStr">
        <is>
          <t>Bergvik skog väst AB</t>
        </is>
      </c>
      <c r="G619" t="n">
        <v>2.4</v>
      </c>
      <c r="H619" t="n">
        <v>0</v>
      </c>
      <c r="I619" t="n">
        <v>0</v>
      </c>
      <c r="J619" t="n">
        <v>0</v>
      </c>
      <c r="K619" t="n">
        <v>0</v>
      </c>
      <c r="L619" t="n">
        <v>0</v>
      </c>
      <c r="M619" t="n">
        <v>0</v>
      </c>
      <c r="N619" t="n">
        <v>0</v>
      </c>
      <c r="O619" t="n">
        <v>0</v>
      </c>
      <c r="P619" t="n">
        <v>0</v>
      </c>
      <c r="Q619" t="n">
        <v>0</v>
      </c>
      <c r="R619" s="2" t="inlineStr"/>
    </row>
    <row r="620" ht="15" customHeight="1">
      <c r="A620" t="inlineStr">
        <is>
          <t>A 63876-2018</t>
        </is>
      </c>
      <c r="B620" s="1" t="n">
        <v>43385</v>
      </c>
      <c r="C620" s="1" t="n">
        <v>45210</v>
      </c>
      <c r="D620" t="inlineStr">
        <is>
          <t>DALARNAS LÄN</t>
        </is>
      </c>
      <c r="E620" t="inlineStr">
        <is>
          <t>LUDVIKA</t>
        </is>
      </c>
      <c r="F620" t="inlineStr">
        <is>
          <t>Bergvik skog väst AB</t>
        </is>
      </c>
      <c r="G620" t="n">
        <v>2.8</v>
      </c>
      <c r="H620" t="n">
        <v>0</v>
      </c>
      <c r="I620" t="n">
        <v>0</v>
      </c>
      <c r="J620" t="n">
        <v>0</v>
      </c>
      <c r="K620" t="n">
        <v>0</v>
      </c>
      <c r="L620" t="n">
        <v>0</v>
      </c>
      <c r="M620" t="n">
        <v>0</v>
      </c>
      <c r="N620" t="n">
        <v>0</v>
      </c>
      <c r="O620" t="n">
        <v>0</v>
      </c>
      <c r="P620" t="n">
        <v>0</v>
      </c>
      <c r="Q620" t="n">
        <v>0</v>
      </c>
      <c r="R620" s="2" t="inlineStr"/>
    </row>
    <row r="621" ht="15" customHeight="1">
      <c r="A621" t="inlineStr">
        <is>
          <t>A 51973-2018</t>
        </is>
      </c>
      <c r="B621" s="1" t="n">
        <v>43385</v>
      </c>
      <c r="C621" s="1" t="n">
        <v>45210</v>
      </c>
      <c r="D621" t="inlineStr">
        <is>
          <t>DALARNAS LÄN</t>
        </is>
      </c>
      <c r="E621" t="inlineStr">
        <is>
          <t>SMEDJEBACKEN</t>
        </is>
      </c>
      <c r="G621" t="n">
        <v>6</v>
      </c>
      <c r="H621" t="n">
        <v>0</v>
      </c>
      <c r="I621" t="n">
        <v>0</v>
      </c>
      <c r="J621" t="n">
        <v>0</v>
      </c>
      <c r="K621" t="n">
        <v>0</v>
      </c>
      <c r="L621" t="n">
        <v>0</v>
      </c>
      <c r="M621" t="n">
        <v>0</v>
      </c>
      <c r="N621" t="n">
        <v>0</v>
      </c>
      <c r="O621" t="n">
        <v>0</v>
      </c>
      <c r="P621" t="n">
        <v>0</v>
      </c>
      <c r="Q621" t="n">
        <v>0</v>
      </c>
      <c r="R621" s="2" t="inlineStr"/>
    </row>
    <row r="622" ht="15" customHeight="1">
      <c r="A622" t="inlineStr">
        <is>
          <t>A 62183-2018</t>
        </is>
      </c>
      <c r="B622" s="1" t="n">
        <v>43385</v>
      </c>
      <c r="C622" s="1" t="n">
        <v>45210</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61744-2018</t>
        </is>
      </c>
      <c r="B623" s="1" t="n">
        <v>43385</v>
      </c>
      <c r="C623" s="1" t="n">
        <v>45210</v>
      </c>
      <c r="D623" t="inlineStr">
        <is>
          <t>DALARNAS LÄN</t>
        </is>
      </c>
      <c r="E623" t="inlineStr">
        <is>
          <t>FALUN</t>
        </is>
      </c>
      <c r="F623" t="inlineStr">
        <is>
          <t>Bergvik skog väst AB</t>
        </is>
      </c>
      <c r="G623" t="n">
        <v>2.1</v>
      </c>
      <c r="H623" t="n">
        <v>0</v>
      </c>
      <c r="I623" t="n">
        <v>0</v>
      </c>
      <c r="J623" t="n">
        <v>0</v>
      </c>
      <c r="K623" t="n">
        <v>0</v>
      </c>
      <c r="L623" t="n">
        <v>0</v>
      </c>
      <c r="M623" t="n">
        <v>0</v>
      </c>
      <c r="N623" t="n">
        <v>0</v>
      </c>
      <c r="O623" t="n">
        <v>0</v>
      </c>
      <c r="P623" t="n">
        <v>0</v>
      </c>
      <c r="Q623" t="n">
        <v>0</v>
      </c>
      <c r="R623" s="2" t="inlineStr"/>
    </row>
    <row r="624" ht="15" customHeight="1">
      <c r="A624" t="inlineStr">
        <is>
          <t>A 62147-2018</t>
        </is>
      </c>
      <c r="B624" s="1" t="n">
        <v>43385</v>
      </c>
      <c r="C624" s="1" t="n">
        <v>45210</v>
      </c>
      <c r="D624" t="inlineStr">
        <is>
          <t>DALARNAS LÄN</t>
        </is>
      </c>
      <c r="E624" t="inlineStr">
        <is>
          <t>LUDVIKA</t>
        </is>
      </c>
      <c r="F624" t="inlineStr">
        <is>
          <t>Bergvik skog väst AB</t>
        </is>
      </c>
      <c r="G624" t="n">
        <v>5.6</v>
      </c>
      <c r="H624" t="n">
        <v>0</v>
      </c>
      <c r="I624" t="n">
        <v>0</v>
      </c>
      <c r="J624" t="n">
        <v>0</v>
      </c>
      <c r="K624" t="n">
        <v>0</v>
      </c>
      <c r="L624" t="n">
        <v>0</v>
      </c>
      <c r="M624" t="n">
        <v>0</v>
      </c>
      <c r="N624" t="n">
        <v>0</v>
      </c>
      <c r="O624" t="n">
        <v>0</v>
      </c>
      <c r="P624" t="n">
        <v>0</v>
      </c>
      <c r="Q624" t="n">
        <v>0</v>
      </c>
      <c r="R624" s="2" t="inlineStr"/>
    </row>
    <row r="625" ht="15" customHeight="1">
      <c r="A625" t="inlineStr">
        <is>
          <t>A 63917-2018</t>
        </is>
      </c>
      <c r="B625" s="1" t="n">
        <v>43388</v>
      </c>
      <c r="C625" s="1" t="n">
        <v>45210</v>
      </c>
      <c r="D625" t="inlineStr">
        <is>
          <t>DALARNAS LÄN</t>
        </is>
      </c>
      <c r="E625" t="inlineStr">
        <is>
          <t>ÄLVDALEN</t>
        </is>
      </c>
      <c r="G625" t="n">
        <v>0.9</v>
      </c>
      <c r="H625" t="n">
        <v>0</v>
      </c>
      <c r="I625" t="n">
        <v>0</v>
      </c>
      <c r="J625" t="n">
        <v>0</v>
      </c>
      <c r="K625" t="n">
        <v>0</v>
      </c>
      <c r="L625" t="n">
        <v>0</v>
      </c>
      <c r="M625" t="n">
        <v>0</v>
      </c>
      <c r="N625" t="n">
        <v>0</v>
      </c>
      <c r="O625" t="n">
        <v>0</v>
      </c>
      <c r="P625" t="n">
        <v>0</v>
      </c>
      <c r="Q625" t="n">
        <v>0</v>
      </c>
      <c r="R625" s="2" t="inlineStr"/>
    </row>
    <row r="626" ht="15" customHeight="1">
      <c r="A626" t="inlineStr">
        <is>
          <t>A 53623-2018</t>
        </is>
      </c>
      <c r="B626" s="1" t="n">
        <v>43388</v>
      </c>
      <c r="C626" s="1" t="n">
        <v>45210</v>
      </c>
      <c r="D626" t="inlineStr">
        <is>
          <t>DALARNAS LÄN</t>
        </is>
      </c>
      <c r="E626" t="inlineStr">
        <is>
          <t>MORA</t>
        </is>
      </c>
      <c r="G626" t="n">
        <v>2.3</v>
      </c>
      <c r="H626" t="n">
        <v>0</v>
      </c>
      <c r="I626" t="n">
        <v>0</v>
      </c>
      <c r="J626" t="n">
        <v>0</v>
      </c>
      <c r="K626" t="n">
        <v>0</v>
      </c>
      <c r="L626" t="n">
        <v>0</v>
      </c>
      <c r="M626" t="n">
        <v>0</v>
      </c>
      <c r="N626" t="n">
        <v>0</v>
      </c>
      <c r="O626" t="n">
        <v>0</v>
      </c>
      <c r="P626" t="n">
        <v>0</v>
      </c>
      <c r="Q626" t="n">
        <v>0</v>
      </c>
      <c r="R626" s="2" t="inlineStr"/>
    </row>
    <row r="627" ht="15" customHeight="1">
      <c r="A627" t="inlineStr">
        <is>
          <t>A 63920-2018</t>
        </is>
      </c>
      <c r="B627" s="1" t="n">
        <v>43388</v>
      </c>
      <c r="C627" s="1" t="n">
        <v>45210</v>
      </c>
      <c r="D627" t="inlineStr">
        <is>
          <t>DALARNAS LÄN</t>
        </is>
      </c>
      <c r="E627" t="inlineStr">
        <is>
          <t>MALUNG-SÄLEN</t>
        </is>
      </c>
      <c r="G627" t="n">
        <v>2.9</v>
      </c>
      <c r="H627" t="n">
        <v>0</v>
      </c>
      <c r="I627" t="n">
        <v>0</v>
      </c>
      <c r="J627" t="n">
        <v>0</v>
      </c>
      <c r="K627" t="n">
        <v>0</v>
      </c>
      <c r="L627" t="n">
        <v>0</v>
      </c>
      <c r="M627" t="n">
        <v>0</v>
      </c>
      <c r="N627" t="n">
        <v>0</v>
      </c>
      <c r="O627" t="n">
        <v>0</v>
      </c>
      <c r="P627" t="n">
        <v>0</v>
      </c>
      <c r="Q627" t="n">
        <v>0</v>
      </c>
      <c r="R627" s="2" t="inlineStr"/>
    </row>
    <row r="628" ht="15" customHeight="1">
      <c r="A628" t="inlineStr">
        <is>
          <t>A 53584-2018</t>
        </is>
      </c>
      <c r="B628" s="1" t="n">
        <v>43388</v>
      </c>
      <c r="C628" s="1" t="n">
        <v>45210</v>
      </c>
      <c r="D628" t="inlineStr">
        <is>
          <t>DALARNAS LÄN</t>
        </is>
      </c>
      <c r="E628" t="inlineStr">
        <is>
          <t>LEKSAND</t>
        </is>
      </c>
      <c r="G628" t="n">
        <v>0.3</v>
      </c>
      <c r="H628" t="n">
        <v>0</v>
      </c>
      <c r="I628" t="n">
        <v>0</v>
      </c>
      <c r="J628" t="n">
        <v>0</v>
      </c>
      <c r="K628" t="n">
        <v>0</v>
      </c>
      <c r="L628" t="n">
        <v>0</v>
      </c>
      <c r="M628" t="n">
        <v>0</v>
      </c>
      <c r="N628" t="n">
        <v>0</v>
      </c>
      <c r="O628" t="n">
        <v>0</v>
      </c>
      <c r="P628" t="n">
        <v>0</v>
      </c>
      <c r="Q628" t="n">
        <v>0</v>
      </c>
      <c r="R628" s="2" t="inlineStr"/>
    </row>
    <row r="629" ht="15" customHeight="1">
      <c r="A629" t="inlineStr">
        <is>
          <t>A 53710-2018</t>
        </is>
      </c>
      <c r="B629" s="1" t="n">
        <v>43388</v>
      </c>
      <c r="C629" s="1" t="n">
        <v>45210</v>
      </c>
      <c r="D629" t="inlineStr">
        <is>
          <t>DALARNAS LÄN</t>
        </is>
      </c>
      <c r="E629" t="inlineStr">
        <is>
          <t>RÄTTVIK</t>
        </is>
      </c>
      <c r="G629" t="n">
        <v>6.4</v>
      </c>
      <c r="H629" t="n">
        <v>0</v>
      </c>
      <c r="I629" t="n">
        <v>0</v>
      </c>
      <c r="J629" t="n">
        <v>0</v>
      </c>
      <c r="K629" t="n">
        <v>0</v>
      </c>
      <c r="L629" t="n">
        <v>0</v>
      </c>
      <c r="M629" t="n">
        <v>0</v>
      </c>
      <c r="N629" t="n">
        <v>0</v>
      </c>
      <c r="O629" t="n">
        <v>0</v>
      </c>
      <c r="P629" t="n">
        <v>0</v>
      </c>
      <c r="Q629" t="n">
        <v>0</v>
      </c>
      <c r="R629" s="2" t="inlineStr"/>
    </row>
    <row r="630" ht="15" customHeight="1">
      <c r="A630" t="inlineStr">
        <is>
          <t>A 63918-2018</t>
        </is>
      </c>
      <c r="B630" s="1" t="n">
        <v>43388</v>
      </c>
      <c r="C630" s="1" t="n">
        <v>45210</v>
      </c>
      <c r="D630" t="inlineStr">
        <is>
          <t>DALARNAS LÄN</t>
        </is>
      </c>
      <c r="E630" t="inlineStr">
        <is>
          <t>MALUNG-SÄLEN</t>
        </is>
      </c>
      <c r="G630" t="n">
        <v>1</v>
      </c>
      <c r="H630" t="n">
        <v>0</v>
      </c>
      <c r="I630" t="n">
        <v>0</v>
      </c>
      <c r="J630" t="n">
        <v>0</v>
      </c>
      <c r="K630" t="n">
        <v>0</v>
      </c>
      <c r="L630" t="n">
        <v>0</v>
      </c>
      <c r="M630" t="n">
        <v>0</v>
      </c>
      <c r="N630" t="n">
        <v>0</v>
      </c>
      <c r="O630" t="n">
        <v>0</v>
      </c>
      <c r="P630" t="n">
        <v>0</v>
      </c>
      <c r="Q630" t="n">
        <v>0</v>
      </c>
      <c r="R630" s="2" t="inlineStr"/>
    </row>
    <row r="631" ht="15" customHeight="1">
      <c r="A631" t="inlineStr">
        <is>
          <t>A 63915-2018</t>
        </is>
      </c>
      <c r="B631" s="1" t="n">
        <v>43388</v>
      </c>
      <c r="C631" s="1" t="n">
        <v>45210</v>
      </c>
      <c r="D631" t="inlineStr">
        <is>
          <t>DALARNAS LÄN</t>
        </is>
      </c>
      <c r="E631" t="inlineStr">
        <is>
          <t>RÄTTVIK</t>
        </is>
      </c>
      <c r="F631" t="inlineStr">
        <is>
          <t>Bergvik skog väst AB</t>
        </is>
      </c>
      <c r="G631" t="n">
        <v>3.6</v>
      </c>
      <c r="H631" t="n">
        <v>0</v>
      </c>
      <c r="I631" t="n">
        <v>0</v>
      </c>
      <c r="J631" t="n">
        <v>0</v>
      </c>
      <c r="K631" t="n">
        <v>0</v>
      </c>
      <c r="L631" t="n">
        <v>0</v>
      </c>
      <c r="M631" t="n">
        <v>0</v>
      </c>
      <c r="N631" t="n">
        <v>0</v>
      </c>
      <c r="O631" t="n">
        <v>0</v>
      </c>
      <c r="P631" t="n">
        <v>0</v>
      </c>
      <c r="Q631" t="n">
        <v>0</v>
      </c>
      <c r="R631" s="2" t="inlineStr"/>
    </row>
    <row r="632" ht="15" customHeight="1">
      <c r="A632" t="inlineStr">
        <is>
          <t>A 63932-2018</t>
        </is>
      </c>
      <c r="B632" s="1" t="n">
        <v>43388</v>
      </c>
      <c r="C632" s="1" t="n">
        <v>45210</v>
      </c>
      <c r="D632" t="inlineStr">
        <is>
          <t>DALARNAS LÄN</t>
        </is>
      </c>
      <c r="E632" t="inlineStr">
        <is>
          <t>RÄTTVIK</t>
        </is>
      </c>
      <c r="G632" t="n">
        <v>10.1</v>
      </c>
      <c r="H632" t="n">
        <v>0</v>
      </c>
      <c r="I632" t="n">
        <v>0</v>
      </c>
      <c r="J632" t="n">
        <v>0</v>
      </c>
      <c r="K632" t="n">
        <v>0</v>
      </c>
      <c r="L632" t="n">
        <v>0</v>
      </c>
      <c r="M632" t="n">
        <v>0</v>
      </c>
      <c r="N632" t="n">
        <v>0</v>
      </c>
      <c r="O632" t="n">
        <v>0</v>
      </c>
      <c r="P632" t="n">
        <v>0</v>
      </c>
      <c r="Q632" t="n">
        <v>0</v>
      </c>
      <c r="R632" s="2" t="inlineStr"/>
    </row>
    <row r="633" ht="15" customHeight="1">
      <c r="A633" t="inlineStr">
        <is>
          <t>A 72671-2018</t>
        </is>
      </c>
      <c r="B633" s="1" t="n">
        <v>43389</v>
      </c>
      <c r="C633" s="1" t="n">
        <v>45210</v>
      </c>
      <c r="D633" t="inlineStr">
        <is>
          <t>DALARNAS LÄN</t>
        </is>
      </c>
      <c r="E633" t="inlineStr">
        <is>
          <t>LUDVIKA</t>
        </is>
      </c>
      <c r="F633" t="inlineStr">
        <is>
          <t>Bergvik skog väst AB</t>
        </is>
      </c>
      <c r="G633" t="n">
        <v>4.1</v>
      </c>
      <c r="H633" t="n">
        <v>0</v>
      </c>
      <c r="I633" t="n">
        <v>0</v>
      </c>
      <c r="J633" t="n">
        <v>0</v>
      </c>
      <c r="K633" t="n">
        <v>0</v>
      </c>
      <c r="L633" t="n">
        <v>0</v>
      </c>
      <c r="M633" t="n">
        <v>0</v>
      </c>
      <c r="N633" t="n">
        <v>0</v>
      </c>
      <c r="O633" t="n">
        <v>0</v>
      </c>
      <c r="P633" t="n">
        <v>0</v>
      </c>
      <c r="Q633" t="n">
        <v>0</v>
      </c>
      <c r="R633" s="2" t="inlineStr"/>
    </row>
    <row r="634" ht="15" customHeight="1">
      <c r="A634" t="inlineStr">
        <is>
          <t>A 72676-2018</t>
        </is>
      </c>
      <c r="B634" s="1" t="n">
        <v>43389</v>
      </c>
      <c r="C634" s="1" t="n">
        <v>45210</v>
      </c>
      <c r="D634" t="inlineStr">
        <is>
          <t>DALARNAS LÄN</t>
        </is>
      </c>
      <c r="E634" t="inlineStr">
        <is>
          <t>VANSBRO</t>
        </is>
      </c>
      <c r="F634" t="inlineStr">
        <is>
          <t>Bergvik skog väst AB</t>
        </is>
      </c>
      <c r="G634" t="n">
        <v>13.4</v>
      </c>
      <c r="H634" t="n">
        <v>0</v>
      </c>
      <c r="I634" t="n">
        <v>0</v>
      </c>
      <c r="J634" t="n">
        <v>0</v>
      </c>
      <c r="K634" t="n">
        <v>0</v>
      </c>
      <c r="L634" t="n">
        <v>0</v>
      </c>
      <c r="M634" t="n">
        <v>0</v>
      </c>
      <c r="N634" t="n">
        <v>0</v>
      </c>
      <c r="O634" t="n">
        <v>0</v>
      </c>
      <c r="P634" t="n">
        <v>0</v>
      </c>
      <c r="Q634" t="n">
        <v>0</v>
      </c>
      <c r="R634" s="2" t="inlineStr"/>
    </row>
    <row r="635" ht="15" customHeight="1">
      <c r="A635" t="inlineStr">
        <is>
          <t>A 72672-2018</t>
        </is>
      </c>
      <c r="B635" s="1" t="n">
        <v>43389</v>
      </c>
      <c r="C635" s="1" t="n">
        <v>45210</v>
      </c>
      <c r="D635" t="inlineStr">
        <is>
          <t>DALARNAS LÄN</t>
        </is>
      </c>
      <c r="E635" t="inlineStr">
        <is>
          <t>FALUN</t>
        </is>
      </c>
      <c r="F635" t="inlineStr">
        <is>
          <t>Bergvik skog väst AB</t>
        </is>
      </c>
      <c r="G635" t="n">
        <v>1.4</v>
      </c>
      <c r="H635" t="n">
        <v>0</v>
      </c>
      <c r="I635" t="n">
        <v>0</v>
      </c>
      <c r="J635" t="n">
        <v>0</v>
      </c>
      <c r="K635" t="n">
        <v>0</v>
      </c>
      <c r="L635" t="n">
        <v>0</v>
      </c>
      <c r="M635" t="n">
        <v>0</v>
      </c>
      <c r="N635" t="n">
        <v>0</v>
      </c>
      <c r="O635" t="n">
        <v>0</v>
      </c>
      <c r="P635" t="n">
        <v>0</v>
      </c>
      <c r="Q635" t="n">
        <v>0</v>
      </c>
      <c r="R635" s="2" t="inlineStr"/>
    </row>
    <row r="636" ht="15" customHeight="1">
      <c r="A636" t="inlineStr">
        <is>
          <t>A 72673-2018</t>
        </is>
      </c>
      <c r="B636" s="1" t="n">
        <v>43389</v>
      </c>
      <c r="C636" s="1" t="n">
        <v>45210</v>
      </c>
      <c r="D636" t="inlineStr">
        <is>
          <t>DALARNAS LÄN</t>
        </is>
      </c>
      <c r="E636" t="inlineStr">
        <is>
          <t>LUDVIKA</t>
        </is>
      </c>
      <c r="F636" t="inlineStr">
        <is>
          <t>Bergvik skog väst AB</t>
        </is>
      </c>
      <c r="G636" t="n">
        <v>5.6</v>
      </c>
      <c r="H636" t="n">
        <v>0</v>
      </c>
      <c r="I636" t="n">
        <v>0</v>
      </c>
      <c r="J636" t="n">
        <v>0</v>
      </c>
      <c r="K636" t="n">
        <v>0</v>
      </c>
      <c r="L636" t="n">
        <v>0</v>
      </c>
      <c r="M636" t="n">
        <v>0</v>
      </c>
      <c r="N636" t="n">
        <v>0</v>
      </c>
      <c r="O636" t="n">
        <v>0</v>
      </c>
      <c r="P636" t="n">
        <v>0</v>
      </c>
      <c r="Q636" t="n">
        <v>0</v>
      </c>
      <c r="R636" s="2" t="inlineStr"/>
    </row>
    <row r="637" ht="15" customHeight="1">
      <c r="A637" t="inlineStr">
        <is>
          <t>A 54174-2018</t>
        </is>
      </c>
      <c r="B637" s="1" t="n">
        <v>43389</v>
      </c>
      <c r="C637" s="1" t="n">
        <v>45210</v>
      </c>
      <c r="D637" t="inlineStr">
        <is>
          <t>DALARNAS LÄN</t>
        </is>
      </c>
      <c r="E637" t="inlineStr">
        <is>
          <t>MALUNG-SÄLEN</t>
        </is>
      </c>
      <c r="G637" t="n">
        <v>1.2</v>
      </c>
      <c r="H637" t="n">
        <v>0</v>
      </c>
      <c r="I637" t="n">
        <v>0</v>
      </c>
      <c r="J637" t="n">
        <v>0</v>
      </c>
      <c r="K637" t="n">
        <v>0</v>
      </c>
      <c r="L637" t="n">
        <v>0</v>
      </c>
      <c r="M637" t="n">
        <v>0</v>
      </c>
      <c r="N637" t="n">
        <v>0</v>
      </c>
      <c r="O637" t="n">
        <v>0</v>
      </c>
      <c r="P637" t="n">
        <v>0</v>
      </c>
      <c r="Q637" t="n">
        <v>0</v>
      </c>
      <c r="R637" s="2" t="inlineStr"/>
    </row>
    <row r="638" ht="15" customHeight="1">
      <c r="A638" t="inlineStr">
        <is>
          <t>A 72669-2018</t>
        </is>
      </c>
      <c r="B638" s="1" t="n">
        <v>43389</v>
      </c>
      <c r="C638" s="1" t="n">
        <v>45210</v>
      </c>
      <c r="D638" t="inlineStr">
        <is>
          <t>DALARNAS LÄN</t>
        </is>
      </c>
      <c r="E638" t="inlineStr">
        <is>
          <t>MALUNG-SÄLEN</t>
        </is>
      </c>
      <c r="G638" t="n">
        <v>2.6</v>
      </c>
      <c r="H638" t="n">
        <v>0</v>
      </c>
      <c r="I638" t="n">
        <v>0</v>
      </c>
      <c r="J638" t="n">
        <v>0</v>
      </c>
      <c r="K638" t="n">
        <v>0</v>
      </c>
      <c r="L638" t="n">
        <v>0</v>
      </c>
      <c r="M638" t="n">
        <v>0</v>
      </c>
      <c r="N638" t="n">
        <v>0</v>
      </c>
      <c r="O638" t="n">
        <v>0</v>
      </c>
      <c r="P638" t="n">
        <v>0</v>
      </c>
      <c r="Q638" t="n">
        <v>0</v>
      </c>
      <c r="R638" s="2" t="inlineStr"/>
    </row>
    <row r="639" ht="15" customHeight="1">
      <c r="A639" t="inlineStr">
        <is>
          <t>A 72674-2018</t>
        </is>
      </c>
      <c r="B639" s="1" t="n">
        <v>43389</v>
      </c>
      <c r="C639" s="1" t="n">
        <v>45210</v>
      </c>
      <c r="D639" t="inlineStr">
        <is>
          <t>DALARNAS LÄN</t>
        </is>
      </c>
      <c r="E639" t="inlineStr">
        <is>
          <t>FALUN</t>
        </is>
      </c>
      <c r="F639" t="inlineStr">
        <is>
          <t>Bergvik skog väst AB</t>
        </is>
      </c>
      <c r="G639" t="n">
        <v>6.5</v>
      </c>
      <c r="H639" t="n">
        <v>0</v>
      </c>
      <c r="I639" t="n">
        <v>0</v>
      </c>
      <c r="J639" t="n">
        <v>0</v>
      </c>
      <c r="K639" t="n">
        <v>0</v>
      </c>
      <c r="L639" t="n">
        <v>0</v>
      </c>
      <c r="M639" t="n">
        <v>0</v>
      </c>
      <c r="N639" t="n">
        <v>0</v>
      </c>
      <c r="O639" t="n">
        <v>0</v>
      </c>
      <c r="P639" t="n">
        <v>0</v>
      </c>
      <c r="Q639" t="n">
        <v>0</v>
      </c>
      <c r="R639" s="2" t="inlineStr"/>
    </row>
    <row r="640" ht="15" customHeight="1">
      <c r="A640" t="inlineStr">
        <is>
          <t>A 53346-2018</t>
        </is>
      </c>
      <c r="B640" s="1" t="n">
        <v>43390</v>
      </c>
      <c r="C640" s="1" t="n">
        <v>45210</v>
      </c>
      <c r="D640" t="inlineStr">
        <is>
          <t>DALARNAS LÄN</t>
        </is>
      </c>
      <c r="E640" t="inlineStr">
        <is>
          <t>FALUN</t>
        </is>
      </c>
      <c r="G640" t="n">
        <v>2.8</v>
      </c>
      <c r="H640" t="n">
        <v>0</v>
      </c>
      <c r="I640" t="n">
        <v>0</v>
      </c>
      <c r="J640" t="n">
        <v>0</v>
      </c>
      <c r="K640" t="n">
        <v>0</v>
      </c>
      <c r="L640" t="n">
        <v>0</v>
      </c>
      <c r="M640" t="n">
        <v>0</v>
      </c>
      <c r="N640" t="n">
        <v>0</v>
      </c>
      <c r="O640" t="n">
        <v>0</v>
      </c>
      <c r="P640" t="n">
        <v>0</v>
      </c>
      <c r="Q640" t="n">
        <v>0</v>
      </c>
      <c r="R640" s="2" t="inlineStr"/>
    </row>
    <row r="641" ht="15" customHeight="1">
      <c r="A641" t="inlineStr">
        <is>
          <t>A 53503-2018</t>
        </is>
      </c>
      <c r="B641" s="1" t="n">
        <v>43391</v>
      </c>
      <c r="C641" s="1" t="n">
        <v>45210</v>
      </c>
      <c r="D641" t="inlineStr">
        <is>
          <t>DALARNAS LÄN</t>
        </is>
      </c>
      <c r="E641" t="inlineStr">
        <is>
          <t>MORA</t>
        </is>
      </c>
      <c r="G641" t="n">
        <v>0.4</v>
      </c>
      <c r="H641" t="n">
        <v>0</v>
      </c>
      <c r="I641" t="n">
        <v>0</v>
      </c>
      <c r="J641" t="n">
        <v>0</v>
      </c>
      <c r="K641" t="n">
        <v>0</v>
      </c>
      <c r="L641" t="n">
        <v>0</v>
      </c>
      <c r="M641" t="n">
        <v>0</v>
      </c>
      <c r="N641" t="n">
        <v>0</v>
      </c>
      <c r="O641" t="n">
        <v>0</v>
      </c>
      <c r="P641" t="n">
        <v>0</v>
      </c>
      <c r="Q641" t="n">
        <v>0</v>
      </c>
      <c r="R641" s="2" t="inlineStr"/>
    </row>
    <row r="642" ht="15" customHeight="1">
      <c r="A642" t="inlineStr">
        <is>
          <t>A 53848-2018</t>
        </is>
      </c>
      <c r="B642" s="1" t="n">
        <v>43391</v>
      </c>
      <c r="C642" s="1" t="n">
        <v>45210</v>
      </c>
      <c r="D642" t="inlineStr">
        <is>
          <t>DALARNAS LÄN</t>
        </is>
      </c>
      <c r="E642" t="inlineStr">
        <is>
          <t>RÄTTVIK</t>
        </is>
      </c>
      <c r="G642" t="n">
        <v>1.7</v>
      </c>
      <c r="H642" t="n">
        <v>0</v>
      </c>
      <c r="I642" t="n">
        <v>0</v>
      </c>
      <c r="J642" t="n">
        <v>0</v>
      </c>
      <c r="K642" t="n">
        <v>0</v>
      </c>
      <c r="L642" t="n">
        <v>0</v>
      </c>
      <c r="M642" t="n">
        <v>0</v>
      </c>
      <c r="N642" t="n">
        <v>0</v>
      </c>
      <c r="O642" t="n">
        <v>0</v>
      </c>
      <c r="P642" t="n">
        <v>0</v>
      </c>
      <c r="Q642" t="n">
        <v>0</v>
      </c>
      <c r="R642" s="2" t="inlineStr"/>
    </row>
    <row r="643" ht="15" customHeight="1">
      <c r="A643" t="inlineStr">
        <is>
          <t>A 53808-2018</t>
        </is>
      </c>
      <c r="B643" s="1" t="n">
        <v>43391</v>
      </c>
      <c r="C643" s="1" t="n">
        <v>45210</v>
      </c>
      <c r="D643" t="inlineStr">
        <is>
          <t>DALARNAS LÄN</t>
        </is>
      </c>
      <c r="E643" t="inlineStr">
        <is>
          <t>LEKSAND</t>
        </is>
      </c>
      <c r="F643" t="inlineStr">
        <is>
          <t>Bergvik skog väst AB</t>
        </is>
      </c>
      <c r="G643" t="n">
        <v>0.3</v>
      </c>
      <c r="H643" t="n">
        <v>0</v>
      </c>
      <c r="I643" t="n">
        <v>0</v>
      </c>
      <c r="J643" t="n">
        <v>0</v>
      </c>
      <c r="K643" t="n">
        <v>0</v>
      </c>
      <c r="L643" t="n">
        <v>0</v>
      </c>
      <c r="M643" t="n">
        <v>0</v>
      </c>
      <c r="N643" t="n">
        <v>0</v>
      </c>
      <c r="O643" t="n">
        <v>0</v>
      </c>
      <c r="P643" t="n">
        <v>0</v>
      </c>
      <c r="Q643" t="n">
        <v>0</v>
      </c>
      <c r="R643" s="2" t="inlineStr"/>
    </row>
    <row r="644" ht="15" customHeight="1">
      <c r="A644" t="inlineStr">
        <is>
          <t>A 55118-2018</t>
        </is>
      </c>
      <c r="B644" s="1" t="n">
        <v>43391</v>
      </c>
      <c r="C644" s="1" t="n">
        <v>45210</v>
      </c>
      <c r="D644" t="inlineStr">
        <is>
          <t>DALARNAS LÄN</t>
        </is>
      </c>
      <c r="E644" t="inlineStr">
        <is>
          <t>ÄLVDALEN</t>
        </is>
      </c>
      <c r="G644" t="n">
        <v>5.1</v>
      </c>
      <c r="H644" t="n">
        <v>0</v>
      </c>
      <c r="I644" t="n">
        <v>0</v>
      </c>
      <c r="J644" t="n">
        <v>0</v>
      </c>
      <c r="K644" t="n">
        <v>0</v>
      </c>
      <c r="L644" t="n">
        <v>0</v>
      </c>
      <c r="M644" t="n">
        <v>0</v>
      </c>
      <c r="N644" t="n">
        <v>0</v>
      </c>
      <c r="O644" t="n">
        <v>0</v>
      </c>
      <c r="P644" t="n">
        <v>0</v>
      </c>
      <c r="Q644" t="n">
        <v>0</v>
      </c>
      <c r="R644" s="2" t="inlineStr"/>
    </row>
    <row r="645" ht="15" customHeight="1">
      <c r="A645" t="inlineStr">
        <is>
          <t>A 54135-2018</t>
        </is>
      </c>
      <c r="B645" s="1" t="n">
        <v>43392</v>
      </c>
      <c r="C645" s="1" t="n">
        <v>45210</v>
      </c>
      <c r="D645" t="inlineStr">
        <is>
          <t>DALARNAS LÄN</t>
        </is>
      </c>
      <c r="E645" t="inlineStr">
        <is>
          <t>FALUN</t>
        </is>
      </c>
      <c r="G645" t="n">
        <v>1.5</v>
      </c>
      <c r="H645" t="n">
        <v>0</v>
      </c>
      <c r="I645" t="n">
        <v>0</v>
      </c>
      <c r="J645" t="n">
        <v>0</v>
      </c>
      <c r="K645" t="n">
        <v>0</v>
      </c>
      <c r="L645" t="n">
        <v>0</v>
      </c>
      <c r="M645" t="n">
        <v>0</v>
      </c>
      <c r="N645" t="n">
        <v>0</v>
      </c>
      <c r="O645" t="n">
        <v>0</v>
      </c>
      <c r="P645" t="n">
        <v>0</v>
      </c>
      <c r="Q645" t="n">
        <v>0</v>
      </c>
      <c r="R645" s="2" t="inlineStr"/>
    </row>
    <row r="646" ht="15" customHeight="1">
      <c r="A646" t="inlineStr">
        <is>
          <t>A 54176-2018</t>
        </is>
      </c>
      <c r="B646" s="1" t="n">
        <v>43392</v>
      </c>
      <c r="C646" s="1" t="n">
        <v>45210</v>
      </c>
      <c r="D646" t="inlineStr">
        <is>
          <t>DALARNAS LÄN</t>
        </is>
      </c>
      <c r="E646" t="inlineStr">
        <is>
          <t>FALUN</t>
        </is>
      </c>
      <c r="G646" t="n">
        <v>6.6</v>
      </c>
      <c r="H646" t="n">
        <v>0</v>
      </c>
      <c r="I646" t="n">
        <v>0</v>
      </c>
      <c r="J646" t="n">
        <v>0</v>
      </c>
      <c r="K646" t="n">
        <v>0</v>
      </c>
      <c r="L646" t="n">
        <v>0</v>
      </c>
      <c r="M646" t="n">
        <v>0</v>
      </c>
      <c r="N646" t="n">
        <v>0</v>
      </c>
      <c r="O646" t="n">
        <v>0</v>
      </c>
      <c r="P646" t="n">
        <v>0</v>
      </c>
      <c r="Q646" t="n">
        <v>0</v>
      </c>
      <c r="R646" s="2" t="inlineStr"/>
    </row>
    <row r="647" ht="15" customHeight="1">
      <c r="A647" t="inlineStr">
        <is>
          <t>A 54010-2018</t>
        </is>
      </c>
      <c r="B647" s="1" t="n">
        <v>43392</v>
      </c>
      <c r="C647" s="1" t="n">
        <v>45210</v>
      </c>
      <c r="D647" t="inlineStr">
        <is>
          <t>DALARNAS LÄN</t>
        </is>
      </c>
      <c r="E647" t="inlineStr">
        <is>
          <t>MALUNG-SÄLEN</t>
        </is>
      </c>
      <c r="F647" t="inlineStr">
        <is>
          <t>Allmännings- och besparingsskogar</t>
        </is>
      </c>
      <c r="G647" t="n">
        <v>5.4</v>
      </c>
      <c r="H647" t="n">
        <v>0</v>
      </c>
      <c r="I647" t="n">
        <v>0</v>
      </c>
      <c r="J647" t="n">
        <v>0</v>
      </c>
      <c r="K647" t="n">
        <v>0</v>
      </c>
      <c r="L647" t="n">
        <v>0</v>
      </c>
      <c r="M647" t="n">
        <v>0</v>
      </c>
      <c r="N647" t="n">
        <v>0</v>
      </c>
      <c r="O647" t="n">
        <v>0</v>
      </c>
      <c r="P647" t="n">
        <v>0</v>
      </c>
      <c r="Q647" t="n">
        <v>0</v>
      </c>
      <c r="R647" s="2" t="inlineStr"/>
    </row>
    <row r="648" ht="15" customHeight="1">
      <c r="A648" t="inlineStr">
        <is>
          <t>A 54014-2018</t>
        </is>
      </c>
      <c r="B648" s="1" t="n">
        <v>43392</v>
      </c>
      <c r="C648" s="1" t="n">
        <v>45210</v>
      </c>
      <c r="D648" t="inlineStr">
        <is>
          <t>DALARNAS LÄN</t>
        </is>
      </c>
      <c r="E648" t="inlineStr">
        <is>
          <t>MALUNG-SÄLEN</t>
        </is>
      </c>
      <c r="F648" t="inlineStr">
        <is>
          <t>Allmännings- och besparingsskogar</t>
        </is>
      </c>
      <c r="G648" t="n">
        <v>2.7</v>
      </c>
      <c r="H648" t="n">
        <v>0</v>
      </c>
      <c r="I648" t="n">
        <v>0</v>
      </c>
      <c r="J648" t="n">
        <v>0</v>
      </c>
      <c r="K648" t="n">
        <v>0</v>
      </c>
      <c r="L648" t="n">
        <v>0</v>
      </c>
      <c r="M648" t="n">
        <v>0</v>
      </c>
      <c r="N648" t="n">
        <v>0</v>
      </c>
      <c r="O648" t="n">
        <v>0</v>
      </c>
      <c r="P648" t="n">
        <v>0</v>
      </c>
      <c r="Q648" t="n">
        <v>0</v>
      </c>
      <c r="R648" s="2" t="inlineStr"/>
    </row>
    <row r="649" ht="15" customHeight="1">
      <c r="A649" t="inlineStr">
        <is>
          <t>A 54172-2018</t>
        </is>
      </c>
      <c r="B649" s="1" t="n">
        <v>43392</v>
      </c>
      <c r="C649" s="1" t="n">
        <v>45210</v>
      </c>
      <c r="D649" t="inlineStr">
        <is>
          <t>DALARNAS LÄN</t>
        </is>
      </c>
      <c r="E649" t="inlineStr">
        <is>
          <t>FALUN</t>
        </is>
      </c>
      <c r="G649" t="n">
        <v>1.5</v>
      </c>
      <c r="H649" t="n">
        <v>0</v>
      </c>
      <c r="I649" t="n">
        <v>0</v>
      </c>
      <c r="J649" t="n">
        <v>0</v>
      </c>
      <c r="K649" t="n">
        <v>0</v>
      </c>
      <c r="L649" t="n">
        <v>0</v>
      </c>
      <c r="M649" t="n">
        <v>0</v>
      </c>
      <c r="N649" t="n">
        <v>0</v>
      </c>
      <c r="O649" t="n">
        <v>0</v>
      </c>
      <c r="P649" t="n">
        <v>0</v>
      </c>
      <c r="Q649" t="n">
        <v>0</v>
      </c>
      <c r="R649" s="2" t="inlineStr"/>
    </row>
    <row r="650" ht="15" customHeight="1">
      <c r="A650" t="inlineStr">
        <is>
          <t>A 53970-2018</t>
        </is>
      </c>
      <c r="B650" s="1" t="n">
        <v>43392</v>
      </c>
      <c r="C650" s="1" t="n">
        <v>45210</v>
      </c>
      <c r="D650" t="inlineStr">
        <is>
          <t>DALARNAS LÄN</t>
        </is>
      </c>
      <c r="E650" t="inlineStr">
        <is>
          <t>MALUNG-SÄLEN</t>
        </is>
      </c>
      <c r="G650" t="n">
        <v>9.6</v>
      </c>
      <c r="H650" t="n">
        <v>0</v>
      </c>
      <c r="I650" t="n">
        <v>0</v>
      </c>
      <c r="J650" t="n">
        <v>0</v>
      </c>
      <c r="K650" t="n">
        <v>0</v>
      </c>
      <c r="L650" t="n">
        <v>0</v>
      </c>
      <c r="M650" t="n">
        <v>0</v>
      </c>
      <c r="N650" t="n">
        <v>0</v>
      </c>
      <c r="O650" t="n">
        <v>0</v>
      </c>
      <c r="P650" t="n">
        <v>0</v>
      </c>
      <c r="Q650" t="n">
        <v>0</v>
      </c>
      <c r="R650" s="2" t="inlineStr"/>
    </row>
    <row r="651" ht="15" customHeight="1">
      <c r="A651" t="inlineStr">
        <is>
          <t>A 58072-2018</t>
        </is>
      </c>
      <c r="B651" s="1" t="n">
        <v>43396</v>
      </c>
      <c r="C651" s="1" t="n">
        <v>45210</v>
      </c>
      <c r="D651" t="inlineStr">
        <is>
          <t>DALARNAS LÄN</t>
        </is>
      </c>
      <c r="E651" t="inlineStr">
        <is>
          <t>MORA</t>
        </is>
      </c>
      <c r="G651" t="n">
        <v>1.8</v>
      </c>
      <c r="H651" t="n">
        <v>0</v>
      </c>
      <c r="I651" t="n">
        <v>0</v>
      </c>
      <c r="J651" t="n">
        <v>0</v>
      </c>
      <c r="K651" t="n">
        <v>0</v>
      </c>
      <c r="L651" t="n">
        <v>0</v>
      </c>
      <c r="M651" t="n">
        <v>0</v>
      </c>
      <c r="N651" t="n">
        <v>0</v>
      </c>
      <c r="O651" t="n">
        <v>0</v>
      </c>
      <c r="P651" t="n">
        <v>0</v>
      </c>
      <c r="Q651" t="n">
        <v>0</v>
      </c>
      <c r="R651" s="2" t="inlineStr"/>
    </row>
    <row r="652" ht="15" customHeight="1">
      <c r="A652" t="inlineStr">
        <is>
          <t>A 54848-2018</t>
        </is>
      </c>
      <c r="B652" s="1" t="n">
        <v>43396</v>
      </c>
      <c r="C652" s="1" t="n">
        <v>45210</v>
      </c>
      <c r="D652" t="inlineStr">
        <is>
          <t>DALARNAS LÄN</t>
        </is>
      </c>
      <c r="E652" t="inlineStr">
        <is>
          <t>GAGNEF</t>
        </is>
      </c>
      <c r="F652" t="inlineStr">
        <is>
          <t>Bergvik skog väst AB</t>
        </is>
      </c>
      <c r="G652" t="n">
        <v>7</v>
      </c>
      <c r="H652" t="n">
        <v>0</v>
      </c>
      <c r="I652" t="n">
        <v>0</v>
      </c>
      <c r="J652" t="n">
        <v>0</v>
      </c>
      <c r="K652" t="n">
        <v>0</v>
      </c>
      <c r="L652" t="n">
        <v>0</v>
      </c>
      <c r="M652" t="n">
        <v>0</v>
      </c>
      <c r="N652" t="n">
        <v>0</v>
      </c>
      <c r="O652" t="n">
        <v>0</v>
      </c>
      <c r="P652" t="n">
        <v>0</v>
      </c>
      <c r="Q652" t="n">
        <v>0</v>
      </c>
      <c r="R652" s="2" t="inlineStr"/>
    </row>
    <row r="653" ht="15" customHeight="1">
      <c r="A653" t="inlineStr">
        <is>
          <t>A 55250-2018</t>
        </is>
      </c>
      <c r="B653" s="1" t="n">
        <v>43397</v>
      </c>
      <c r="C653" s="1" t="n">
        <v>45210</v>
      </c>
      <c r="D653" t="inlineStr">
        <is>
          <t>DALARNAS LÄN</t>
        </is>
      </c>
      <c r="E653" t="inlineStr">
        <is>
          <t>GAGNEF</t>
        </is>
      </c>
      <c r="G653" t="n">
        <v>1</v>
      </c>
      <c r="H653" t="n">
        <v>0</v>
      </c>
      <c r="I653" t="n">
        <v>0</v>
      </c>
      <c r="J653" t="n">
        <v>0</v>
      </c>
      <c r="K653" t="n">
        <v>0</v>
      </c>
      <c r="L653" t="n">
        <v>0</v>
      </c>
      <c r="M653" t="n">
        <v>0</v>
      </c>
      <c r="N653" t="n">
        <v>0</v>
      </c>
      <c r="O653" t="n">
        <v>0</v>
      </c>
      <c r="P653" t="n">
        <v>0</v>
      </c>
      <c r="Q653" t="n">
        <v>0</v>
      </c>
      <c r="R653" s="2" t="inlineStr"/>
    </row>
    <row r="654" ht="15" customHeight="1">
      <c r="A654" t="inlineStr">
        <is>
          <t>A 55283-2018</t>
        </is>
      </c>
      <c r="B654" s="1" t="n">
        <v>43397</v>
      </c>
      <c r="C654" s="1" t="n">
        <v>45210</v>
      </c>
      <c r="D654" t="inlineStr">
        <is>
          <t>DALARNAS LÄN</t>
        </is>
      </c>
      <c r="E654" t="inlineStr">
        <is>
          <t>MORA</t>
        </is>
      </c>
      <c r="G654" t="n">
        <v>30.8</v>
      </c>
      <c r="H654" t="n">
        <v>0</v>
      </c>
      <c r="I654" t="n">
        <v>0</v>
      </c>
      <c r="J654" t="n">
        <v>0</v>
      </c>
      <c r="K654" t="n">
        <v>0</v>
      </c>
      <c r="L654" t="n">
        <v>0</v>
      </c>
      <c r="M654" t="n">
        <v>0</v>
      </c>
      <c r="N654" t="n">
        <v>0</v>
      </c>
      <c r="O654" t="n">
        <v>0</v>
      </c>
      <c r="P654" t="n">
        <v>0</v>
      </c>
      <c r="Q654" t="n">
        <v>0</v>
      </c>
      <c r="R654" s="2" t="inlineStr"/>
    </row>
    <row r="655" ht="15" customHeight="1">
      <c r="A655" t="inlineStr">
        <is>
          <t>A 58081-2018</t>
        </is>
      </c>
      <c r="B655" s="1" t="n">
        <v>43398</v>
      </c>
      <c r="C655" s="1" t="n">
        <v>45210</v>
      </c>
      <c r="D655" t="inlineStr">
        <is>
          <t>DALARNAS LÄN</t>
        </is>
      </c>
      <c r="E655" t="inlineStr">
        <is>
          <t>RÄTTVIK</t>
        </is>
      </c>
      <c r="G655" t="n">
        <v>2.1</v>
      </c>
      <c r="H655" t="n">
        <v>0</v>
      </c>
      <c r="I655" t="n">
        <v>0</v>
      </c>
      <c r="J655" t="n">
        <v>0</v>
      </c>
      <c r="K655" t="n">
        <v>0</v>
      </c>
      <c r="L655" t="n">
        <v>0</v>
      </c>
      <c r="M655" t="n">
        <v>0</v>
      </c>
      <c r="N655" t="n">
        <v>0</v>
      </c>
      <c r="O655" t="n">
        <v>0</v>
      </c>
      <c r="P655" t="n">
        <v>0</v>
      </c>
      <c r="Q655" t="n">
        <v>0</v>
      </c>
      <c r="R655" s="2" t="inlineStr"/>
    </row>
    <row r="656" ht="15" customHeight="1">
      <c r="A656" t="inlineStr">
        <is>
          <t>A 56381-2018</t>
        </is>
      </c>
      <c r="B656" s="1" t="n">
        <v>43399</v>
      </c>
      <c r="C656" s="1" t="n">
        <v>45210</v>
      </c>
      <c r="D656" t="inlineStr">
        <is>
          <t>DALARNAS LÄN</t>
        </is>
      </c>
      <c r="E656" t="inlineStr">
        <is>
          <t>VANSBRO</t>
        </is>
      </c>
      <c r="G656" t="n">
        <v>1.6</v>
      </c>
      <c r="H656" t="n">
        <v>0</v>
      </c>
      <c r="I656" t="n">
        <v>0</v>
      </c>
      <c r="J656" t="n">
        <v>0</v>
      </c>
      <c r="K656" t="n">
        <v>0</v>
      </c>
      <c r="L656" t="n">
        <v>0</v>
      </c>
      <c r="M656" t="n">
        <v>0</v>
      </c>
      <c r="N656" t="n">
        <v>0</v>
      </c>
      <c r="O656" t="n">
        <v>0</v>
      </c>
      <c r="P656" t="n">
        <v>0</v>
      </c>
      <c r="Q656" t="n">
        <v>0</v>
      </c>
      <c r="R656" s="2" t="inlineStr"/>
    </row>
    <row r="657" ht="15" customHeight="1">
      <c r="A657" t="inlineStr">
        <is>
          <t>A 58716-2018</t>
        </is>
      </c>
      <c r="B657" s="1" t="n">
        <v>43399</v>
      </c>
      <c r="C657" s="1" t="n">
        <v>45210</v>
      </c>
      <c r="D657" t="inlineStr">
        <is>
          <t>DALARNAS LÄN</t>
        </is>
      </c>
      <c r="E657" t="inlineStr">
        <is>
          <t>RÄTTVIK</t>
        </is>
      </c>
      <c r="G657" t="n">
        <v>2.8</v>
      </c>
      <c r="H657" t="n">
        <v>0</v>
      </c>
      <c r="I657" t="n">
        <v>0</v>
      </c>
      <c r="J657" t="n">
        <v>0</v>
      </c>
      <c r="K657" t="n">
        <v>0</v>
      </c>
      <c r="L657" t="n">
        <v>0</v>
      </c>
      <c r="M657" t="n">
        <v>0</v>
      </c>
      <c r="N657" t="n">
        <v>0</v>
      </c>
      <c r="O657" t="n">
        <v>0</v>
      </c>
      <c r="P657" t="n">
        <v>0</v>
      </c>
      <c r="Q657" t="n">
        <v>0</v>
      </c>
      <c r="R657" s="2" t="inlineStr"/>
    </row>
    <row r="658" ht="15" customHeight="1">
      <c r="A658" t="inlineStr">
        <is>
          <t>A 60434-2018</t>
        </is>
      </c>
      <c r="B658" s="1" t="n">
        <v>43401</v>
      </c>
      <c r="C658" s="1" t="n">
        <v>45210</v>
      </c>
      <c r="D658" t="inlineStr">
        <is>
          <t>DALARNAS LÄN</t>
        </is>
      </c>
      <c r="E658" t="inlineStr">
        <is>
          <t>RÄTTVIK</t>
        </is>
      </c>
      <c r="G658" t="n">
        <v>0.6</v>
      </c>
      <c r="H658" t="n">
        <v>0</v>
      </c>
      <c r="I658" t="n">
        <v>0</v>
      </c>
      <c r="J658" t="n">
        <v>0</v>
      </c>
      <c r="K658" t="n">
        <v>0</v>
      </c>
      <c r="L658" t="n">
        <v>0</v>
      </c>
      <c r="M658" t="n">
        <v>0</v>
      </c>
      <c r="N658" t="n">
        <v>0</v>
      </c>
      <c r="O658" t="n">
        <v>0</v>
      </c>
      <c r="P658" t="n">
        <v>0</v>
      </c>
      <c r="Q658" t="n">
        <v>0</v>
      </c>
      <c r="R658" s="2" t="inlineStr"/>
    </row>
    <row r="659" ht="15" customHeight="1">
      <c r="A659" t="inlineStr">
        <is>
          <t>A 58987-2018</t>
        </is>
      </c>
      <c r="B659" s="1" t="n">
        <v>43402</v>
      </c>
      <c r="C659" s="1" t="n">
        <v>45210</v>
      </c>
      <c r="D659" t="inlineStr">
        <is>
          <t>DALARNAS LÄN</t>
        </is>
      </c>
      <c r="E659" t="inlineStr">
        <is>
          <t>MALUNG-SÄLEN</t>
        </is>
      </c>
      <c r="G659" t="n">
        <v>0.5</v>
      </c>
      <c r="H659" t="n">
        <v>0</v>
      </c>
      <c r="I659" t="n">
        <v>0</v>
      </c>
      <c r="J659" t="n">
        <v>0</v>
      </c>
      <c r="K659" t="n">
        <v>0</v>
      </c>
      <c r="L659" t="n">
        <v>0</v>
      </c>
      <c r="M659" t="n">
        <v>0</v>
      </c>
      <c r="N659" t="n">
        <v>0</v>
      </c>
      <c r="O659" t="n">
        <v>0</v>
      </c>
      <c r="P659" t="n">
        <v>0</v>
      </c>
      <c r="Q659" t="n">
        <v>0</v>
      </c>
      <c r="R659" s="2" t="inlineStr"/>
    </row>
    <row r="660" ht="15" customHeight="1">
      <c r="A660" t="inlineStr">
        <is>
          <t>A 58899-2018</t>
        </is>
      </c>
      <c r="B660" s="1" t="n">
        <v>43402</v>
      </c>
      <c r="C660" s="1" t="n">
        <v>45210</v>
      </c>
      <c r="D660" t="inlineStr">
        <is>
          <t>DALARNAS LÄN</t>
        </is>
      </c>
      <c r="E660" t="inlineStr">
        <is>
          <t>MORA</t>
        </is>
      </c>
      <c r="G660" t="n">
        <v>11</v>
      </c>
      <c r="H660" t="n">
        <v>0</v>
      </c>
      <c r="I660" t="n">
        <v>0</v>
      </c>
      <c r="J660" t="n">
        <v>0</v>
      </c>
      <c r="K660" t="n">
        <v>0</v>
      </c>
      <c r="L660" t="n">
        <v>0</v>
      </c>
      <c r="M660" t="n">
        <v>0</v>
      </c>
      <c r="N660" t="n">
        <v>0</v>
      </c>
      <c r="O660" t="n">
        <v>0</v>
      </c>
      <c r="P660" t="n">
        <v>0</v>
      </c>
      <c r="Q660" t="n">
        <v>0</v>
      </c>
      <c r="R660" s="2" t="inlineStr"/>
    </row>
    <row r="661" ht="15" customHeight="1">
      <c r="A661" t="inlineStr">
        <is>
          <t>A 56926-2018</t>
        </is>
      </c>
      <c r="B661" s="1" t="n">
        <v>43403</v>
      </c>
      <c r="C661" s="1" t="n">
        <v>45210</v>
      </c>
      <c r="D661" t="inlineStr">
        <is>
          <t>DALARNAS LÄN</t>
        </is>
      </c>
      <c r="E661" t="inlineStr">
        <is>
          <t>GAGNEF</t>
        </is>
      </c>
      <c r="F661" t="inlineStr">
        <is>
          <t>Bergvik skog väst AB</t>
        </is>
      </c>
      <c r="G661" t="n">
        <v>7</v>
      </c>
      <c r="H661" t="n">
        <v>0</v>
      </c>
      <c r="I661" t="n">
        <v>0</v>
      </c>
      <c r="J661" t="n">
        <v>0</v>
      </c>
      <c r="K661" t="n">
        <v>0</v>
      </c>
      <c r="L661" t="n">
        <v>0</v>
      </c>
      <c r="M661" t="n">
        <v>0</v>
      </c>
      <c r="N661" t="n">
        <v>0</v>
      </c>
      <c r="O661" t="n">
        <v>0</v>
      </c>
      <c r="P661" t="n">
        <v>0</v>
      </c>
      <c r="Q661" t="n">
        <v>0</v>
      </c>
      <c r="R661" s="2" t="inlineStr"/>
    </row>
    <row r="662" ht="15" customHeight="1">
      <c r="A662" t="inlineStr">
        <is>
          <t>A 57057-2018</t>
        </is>
      </c>
      <c r="B662" s="1" t="n">
        <v>43403</v>
      </c>
      <c r="C662" s="1" t="n">
        <v>45210</v>
      </c>
      <c r="D662" t="inlineStr">
        <is>
          <t>DALARNAS LÄN</t>
        </is>
      </c>
      <c r="E662" t="inlineStr">
        <is>
          <t>LUDVIKA</t>
        </is>
      </c>
      <c r="F662" t="inlineStr">
        <is>
          <t>Bergvik skog väst AB</t>
        </is>
      </c>
      <c r="G662" t="n">
        <v>7.6</v>
      </c>
      <c r="H662" t="n">
        <v>0</v>
      </c>
      <c r="I662" t="n">
        <v>0</v>
      </c>
      <c r="J662" t="n">
        <v>0</v>
      </c>
      <c r="K662" t="n">
        <v>0</v>
      </c>
      <c r="L662" t="n">
        <v>0</v>
      </c>
      <c r="M662" t="n">
        <v>0</v>
      </c>
      <c r="N662" t="n">
        <v>0</v>
      </c>
      <c r="O662" t="n">
        <v>0</v>
      </c>
      <c r="P662" t="n">
        <v>0</v>
      </c>
      <c r="Q662" t="n">
        <v>0</v>
      </c>
      <c r="R662" s="2" t="inlineStr"/>
    </row>
    <row r="663" ht="15" customHeight="1">
      <c r="A663" t="inlineStr">
        <is>
          <t>A 58278-2018</t>
        </is>
      </c>
      <c r="B663" s="1" t="n">
        <v>43404</v>
      </c>
      <c r="C663" s="1" t="n">
        <v>45210</v>
      </c>
      <c r="D663" t="inlineStr">
        <is>
          <t>DALARNAS LÄN</t>
        </is>
      </c>
      <c r="E663" t="inlineStr">
        <is>
          <t>MALUNG-SÄLEN</t>
        </is>
      </c>
      <c r="G663" t="n">
        <v>1.7</v>
      </c>
      <c r="H663" t="n">
        <v>0</v>
      </c>
      <c r="I663" t="n">
        <v>0</v>
      </c>
      <c r="J663" t="n">
        <v>0</v>
      </c>
      <c r="K663" t="n">
        <v>0</v>
      </c>
      <c r="L663" t="n">
        <v>0</v>
      </c>
      <c r="M663" t="n">
        <v>0</v>
      </c>
      <c r="N663" t="n">
        <v>0</v>
      </c>
      <c r="O663" t="n">
        <v>0</v>
      </c>
      <c r="P663" t="n">
        <v>0</v>
      </c>
      <c r="Q663" t="n">
        <v>0</v>
      </c>
      <c r="R663" s="2" t="inlineStr"/>
    </row>
    <row r="664" ht="15" customHeight="1">
      <c r="A664" t="inlineStr">
        <is>
          <t>A 57394-2018</t>
        </is>
      </c>
      <c r="B664" s="1" t="n">
        <v>43404</v>
      </c>
      <c r="C664" s="1" t="n">
        <v>45210</v>
      </c>
      <c r="D664" t="inlineStr">
        <is>
          <t>DALARNAS LÄN</t>
        </is>
      </c>
      <c r="E664" t="inlineStr">
        <is>
          <t>FALUN</t>
        </is>
      </c>
      <c r="F664" t="inlineStr">
        <is>
          <t>Bergvik skog väst AB</t>
        </is>
      </c>
      <c r="G664" t="n">
        <v>2.8</v>
      </c>
      <c r="H664" t="n">
        <v>0</v>
      </c>
      <c r="I664" t="n">
        <v>0</v>
      </c>
      <c r="J664" t="n">
        <v>0</v>
      </c>
      <c r="K664" t="n">
        <v>0</v>
      </c>
      <c r="L664" t="n">
        <v>0</v>
      </c>
      <c r="M664" t="n">
        <v>0</v>
      </c>
      <c r="N664" t="n">
        <v>0</v>
      </c>
      <c r="O664" t="n">
        <v>0</v>
      </c>
      <c r="P664" t="n">
        <v>0</v>
      </c>
      <c r="Q664" t="n">
        <v>0</v>
      </c>
      <c r="R664" s="2" t="inlineStr"/>
    </row>
    <row r="665" ht="15" customHeight="1">
      <c r="A665" t="inlineStr">
        <is>
          <t>A 57495-2018</t>
        </is>
      </c>
      <c r="B665" s="1" t="n">
        <v>43404</v>
      </c>
      <c r="C665" s="1" t="n">
        <v>45210</v>
      </c>
      <c r="D665" t="inlineStr">
        <is>
          <t>DALARNAS LÄN</t>
        </is>
      </c>
      <c r="E665" t="inlineStr">
        <is>
          <t>LUDVIKA</t>
        </is>
      </c>
      <c r="F665" t="inlineStr">
        <is>
          <t>Bergvik skog väst AB</t>
        </is>
      </c>
      <c r="G665" t="n">
        <v>5.3</v>
      </c>
      <c r="H665" t="n">
        <v>0</v>
      </c>
      <c r="I665" t="n">
        <v>0</v>
      </c>
      <c r="J665" t="n">
        <v>0</v>
      </c>
      <c r="K665" t="n">
        <v>0</v>
      </c>
      <c r="L665" t="n">
        <v>0</v>
      </c>
      <c r="M665" t="n">
        <v>0</v>
      </c>
      <c r="N665" t="n">
        <v>0</v>
      </c>
      <c r="O665" t="n">
        <v>0</v>
      </c>
      <c r="P665" t="n">
        <v>0</v>
      </c>
      <c r="Q665" t="n">
        <v>0</v>
      </c>
      <c r="R665" s="2" t="inlineStr"/>
    </row>
    <row r="666" ht="15" customHeight="1">
      <c r="A666" t="inlineStr">
        <is>
          <t>A 63991-2018</t>
        </is>
      </c>
      <c r="B666" s="1" t="n">
        <v>43404</v>
      </c>
      <c r="C666" s="1" t="n">
        <v>45210</v>
      </c>
      <c r="D666" t="inlineStr">
        <is>
          <t>DALARNAS LÄN</t>
        </is>
      </c>
      <c r="E666" t="inlineStr">
        <is>
          <t>GAGNEF</t>
        </is>
      </c>
      <c r="F666" t="inlineStr">
        <is>
          <t>Bergvik skog väst AB</t>
        </is>
      </c>
      <c r="G666" t="n">
        <v>0.4</v>
      </c>
      <c r="H666" t="n">
        <v>0</v>
      </c>
      <c r="I666" t="n">
        <v>0</v>
      </c>
      <c r="J666" t="n">
        <v>0</v>
      </c>
      <c r="K666" t="n">
        <v>0</v>
      </c>
      <c r="L666" t="n">
        <v>0</v>
      </c>
      <c r="M666" t="n">
        <v>0</v>
      </c>
      <c r="N666" t="n">
        <v>0</v>
      </c>
      <c r="O666" t="n">
        <v>0</v>
      </c>
      <c r="P666" t="n">
        <v>0</v>
      </c>
      <c r="Q666" t="n">
        <v>0</v>
      </c>
      <c r="R666" s="2" t="inlineStr"/>
    </row>
    <row r="667" ht="15" customHeight="1">
      <c r="A667" t="inlineStr">
        <is>
          <t>A 57527-2018</t>
        </is>
      </c>
      <c r="B667" s="1" t="n">
        <v>43404</v>
      </c>
      <c r="C667" s="1" t="n">
        <v>45210</v>
      </c>
      <c r="D667" t="inlineStr">
        <is>
          <t>DALARNAS LÄN</t>
        </is>
      </c>
      <c r="E667" t="inlineStr">
        <is>
          <t>LUDVIKA</t>
        </is>
      </c>
      <c r="G667" t="n">
        <v>2</v>
      </c>
      <c r="H667" t="n">
        <v>0</v>
      </c>
      <c r="I667" t="n">
        <v>0</v>
      </c>
      <c r="J667" t="n">
        <v>0</v>
      </c>
      <c r="K667" t="n">
        <v>0</v>
      </c>
      <c r="L667" t="n">
        <v>0</v>
      </c>
      <c r="M667" t="n">
        <v>0</v>
      </c>
      <c r="N667" t="n">
        <v>0</v>
      </c>
      <c r="O667" t="n">
        <v>0</v>
      </c>
      <c r="P667" t="n">
        <v>0</v>
      </c>
      <c r="Q667" t="n">
        <v>0</v>
      </c>
      <c r="R667" s="2" t="inlineStr"/>
    </row>
    <row r="668" ht="15" customHeight="1">
      <c r="A668" t="inlineStr">
        <is>
          <t>A 59274-2018</t>
        </is>
      </c>
      <c r="B668" s="1" t="n">
        <v>43404</v>
      </c>
      <c r="C668" s="1" t="n">
        <v>45210</v>
      </c>
      <c r="D668" t="inlineStr">
        <is>
          <t>DALARNAS LÄN</t>
        </is>
      </c>
      <c r="E668" t="inlineStr">
        <is>
          <t>LEKSAND</t>
        </is>
      </c>
      <c r="G668" t="n">
        <v>3</v>
      </c>
      <c r="H668" t="n">
        <v>0</v>
      </c>
      <c r="I668" t="n">
        <v>0</v>
      </c>
      <c r="J668" t="n">
        <v>0</v>
      </c>
      <c r="K668" t="n">
        <v>0</v>
      </c>
      <c r="L668" t="n">
        <v>0</v>
      </c>
      <c r="M668" t="n">
        <v>0</v>
      </c>
      <c r="N668" t="n">
        <v>0</v>
      </c>
      <c r="O668" t="n">
        <v>0</v>
      </c>
      <c r="P668" t="n">
        <v>0</v>
      </c>
      <c r="Q668" t="n">
        <v>0</v>
      </c>
      <c r="R668" s="2" t="inlineStr"/>
    </row>
    <row r="669" ht="15" customHeight="1">
      <c r="A669" t="inlineStr">
        <is>
          <t>A 57519-2018</t>
        </is>
      </c>
      <c r="B669" s="1" t="n">
        <v>43404</v>
      </c>
      <c r="C669" s="1" t="n">
        <v>45210</v>
      </c>
      <c r="D669" t="inlineStr">
        <is>
          <t>DALARNAS LÄN</t>
        </is>
      </c>
      <c r="E669" t="inlineStr">
        <is>
          <t>LUDVIKA</t>
        </is>
      </c>
      <c r="G669" t="n">
        <v>3.8</v>
      </c>
      <c r="H669" t="n">
        <v>0</v>
      </c>
      <c r="I669" t="n">
        <v>0</v>
      </c>
      <c r="J669" t="n">
        <v>0</v>
      </c>
      <c r="K669" t="n">
        <v>0</v>
      </c>
      <c r="L669" t="n">
        <v>0</v>
      </c>
      <c r="M669" t="n">
        <v>0</v>
      </c>
      <c r="N669" t="n">
        <v>0</v>
      </c>
      <c r="O669" t="n">
        <v>0</v>
      </c>
      <c r="P669" t="n">
        <v>0</v>
      </c>
      <c r="Q669" t="n">
        <v>0</v>
      </c>
      <c r="R669" s="2" t="inlineStr"/>
    </row>
    <row r="670" ht="15" customHeight="1">
      <c r="A670" t="inlineStr">
        <is>
          <t>A 60506-2018</t>
        </is>
      </c>
      <c r="B670" s="1" t="n">
        <v>43405</v>
      </c>
      <c r="C670" s="1" t="n">
        <v>45210</v>
      </c>
      <c r="D670" t="inlineStr">
        <is>
          <t>DALARNAS LÄN</t>
        </is>
      </c>
      <c r="E670" t="inlineStr">
        <is>
          <t>RÄTTVIK</t>
        </is>
      </c>
      <c r="G670" t="n">
        <v>1.3</v>
      </c>
      <c r="H670" t="n">
        <v>0</v>
      </c>
      <c r="I670" t="n">
        <v>0</v>
      </c>
      <c r="J670" t="n">
        <v>0</v>
      </c>
      <c r="K670" t="n">
        <v>0</v>
      </c>
      <c r="L670" t="n">
        <v>0</v>
      </c>
      <c r="M670" t="n">
        <v>0</v>
      </c>
      <c r="N670" t="n">
        <v>0</v>
      </c>
      <c r="O670" t="n">
        <v>0</v>
      </c>
      <c r="P670" t="n">
        <v>0</v>
      </c>
      <c r="Q670" t="n">
        <v>0</v>
      </c>
      <c r="R670" s="2" t="inlineStr"/>
    </row>
    <row r="671" ht="15" customHeight="1">
      <c r="A671" t="inlineStr">
        <is>
          <t>A 57695-2018</t>
        </is>
      </c>
      <c r="B671" s="1" t="n">
        <v>43405</v>
      </c>
      <c r="C671" s="1" t="n">
        <v>45210</v>
      </c>
      <c r="D671" t="inlineStr">
        <is>
          <t>DALARNAS LÄN</t>
        </is>
      </c>
      <c r="E671" t="inlineStr">
        <is>
          <t>GAGNEF</t>
        </is>
      </c>
      <c r="G671" t="n">
        <v>3.2</v>
      </c>
      <c r="H671" t="n">
        <v>0</v>
      </c>
      <c r="I671" t="n">
        <v>0</v>
      </c>
      <c r="J671" t="n">
        <v>0</v>
      </c>
      <c r="K671" t="n">
        <v>0</v>
      </c>
      <c r="L671" t="n">
        <v>0</v>
      </c>
      <c r="M671" t="n">
        <v>0</v>
      </c>
      <c r="N671" t="n">
        <v>0</v>
      </c>
      <c r="O671" t="n">
        <v>0</v>
      </c>
      <c r="P671" t="n">
        <v>0</v>
      </c>
      <c r="Q671" t="n">
        <v>0</v>
      </c>
      <c r="R671" s="2" t="inlineStr"/>
    </row>
    <row r="672" ht="15" customHeight="1">
      <c r="A672" t="inlineStr">
        <is>
          <t>A 59546-2018</t>
        </is>
      </c>
      <c r="B672" s="1" t="n">
        <v>43405</v>
      </c>
      <c r="C672" s="1" t="n">
        <v>45210</v>
      </c>
      <c r="D672" t="inlineStr">
        <is>
          <t>DALARNAS LÄN</t>
        </is>
      </c>
      <c r="E672" t="inlineStr">
        <is>
          <t>RÄTTVIK</t>
        </is>
      </c>
      <c r="G672" t="n">
        <v>1.8</v>
      </c>
      <c r="H672" t="n">
        <v>0</v>
      </c>
      <c r="I672" t="n">
        <v>0</v>
      </c>
      <c r="J672" t="n">
        <v>0</v>
      </c>
      <c r="K672" t="n">
        <v>0</v>
      </c>
      <c r="L672" t="n">
        <v>0</v>
      </c>
      <c r="M672" t="n">
        <v>0</v>
      </c>
      <c r="N672" t="n">
        <v>0</v>
      </c>
      <c r="O672" t="n">
        <v>0</v>
      </c>
      <c r="P672" t="n">
        <v>0</v>
      </c>
      <c r="Q672" t="n">
        <v>0</v>
      </c>
      <c r="R672" s="2" t="inlineStr"/>
    </row>
    <row r="673" ht="15" customHeight="1">
      <c r="A673" t="inlineStr">
        <is>
          <t>A 58031-2018</t>
        </is>
      </c>
      <c r="B673" s="1" t="n">
        <v>43406</v>
      </c>
      <c r="C673" s="1" t="n">
        <v>45210</v>
      </c>
      <c r="D673" t="inlineStr">
        <is>
          <t>DALARNAS LÄN</t>
        </is>
      </c>
      <c r="E673" t="inlineStr">
        <is>
          <t>GAGNEF</t>
        </is>
      </c>
      <c r="G673" t="n">
        <v>1.9</v>
      </c>
      <c r="H673" t="n">
        <v>0</v>
      </c>
      <c r="I673" t="n">
        <v>0</v>
      </c>
      <c r="J673" t="n">
        <v>0</v>
      </c>
      <c r="K673" t="n">
        <v>0</v>
      </c>
      <c r="L673" t="n">
        <v>0</v>
      </c>
      <c r="M673" t="n">
        <v>0</v>
      </c>
      <c r="N673" t="n">
        <v>0</v>
      </c>
      <c r="O673" t="n">
        <v>0</v>
      </c>
      <c r="P673" t="n">
        <v>0</v>
      </c>
      <c r="Q673" t="n">
        <v>0</v>
      </c>
      <c r="R673" s="2" t="inlineStr"/>
    </row>
    <row r="674" ht="15" customHeight="1">
      <c r="A674" t="inlineStr">
        <is>
          <t>A 58202-2018</t>
        </is>
      </c>
      <c r="B674" s="1" t="n">
        <v>43408</v>
      </c>
      <c r="C674" s="1" t="n">
        <v>45210</v>
      </c>
      <c r="D674" t="inlineStr">
        <is>
          <t>DALARNAS LÄN</t>
        </is>
      </c>
      <c r="E674" t="inlineStr">
        <is>
          <t>LEKSAND</t>
        </is>
      </c>
      <c r="G674" t="n">
        <v>0.8</v>
      </c>
      <c r="H674" t="n">
        <v>0</v>
      </c>
      <c r="I674" t="n">
        <v>0</v>
      </c>
      <c r="J674" t="n">
        <v>0</v>
      </c>
      <c r="K674" t="n">
        <v>0</v>
      </c>
      <c r="L674" t="n">
        <v>0</v>
      </c>
      <c r="M674" t="n">
        <v>0</v>
      </c>
      <c r="N674" t="n">
        <v>0</v>
      </c>
      <c r="O674" t="n">
        <v>0</v>
      </c>
      <c r="P674" t="n">
        <v>0</v>
      </c>
      <c r="Q674" t="n">
        <v>0</v>
      </c>
      <c r="R674" s="2" t="inlineStr"/>
    </row>
    <row r="675" ht="15" customHeight="1">
      <c r="A675" t="inlineStr">
        <is>
          <t>A 60703-2018</t>
        </is>
      </c>
      <c r="B675" s="1" t="n">
        <v>43409</v>
      </c>
      <c r="C675" s="1" t="n">
        <v>45210</v>
      </c>
      <c r="D675" t="inlineStr">
        <is>
          <t>DALARNAS LÄN</t>
        </is>
      </c>
      <c r="E675" t="inlineStr">
        <is>
          <t>MALUNG-SÄLEN</t>
        </is>
      </c>
      <c r="F675" t="inlineStr">
        <is>
          <t>Allmännings- och besparingsskogar</t>
        </is>
      </c>
      <c r="G675" t="n">
        <v>2.2</v>
      </c>
      <c r="H675" t="n">
        <v>0</v>
      </c>
      <c r="I675" t="n">
        <v>0</v>
      </c>
      <c r="J675" t="n">
        <v>0</v>
      </c>
      <c r="K675" t="n">
        <v>0</v>
      </c>
      <c r="L675" t="n">
        <v>0</v>
      </c>
      <c r="M675" t="n">
        <v>0</v>
      </c>
      <c r="N675" t="n">
        <v>0</v>
      </c>
      <c r="O675" t="n">
        <v>0</v>
      </c>
      <c r="P675" t="n">
        <v>0</v>
      </c>
      <c r="Q675" t="n">
        <v>0</v>
      </c>
      <c r="R675" s="2" t="inlineStr"/>
    </row>
    <row r="676" ht="15" customHeight="1">
      <c r="A676" t="inlineStr">
        <is>
          <t>A 60698-2018</t>
        </is>
      </c>
      <c r="B676" s="1" t="n">
        <v>43409</v>
      </c>
      <c r="C676" s="1" t="n">
        <v>45210</v>
      </c>
      <c r="D676" t="inlineStr">
        <is>
          <t>DALARNAS LÄN</t>
        </is>
      </c>
      <c r="E676" t="inlineStr">
        <is>
          <t>MALUNG-SÄLEN</t>
        </is>
      </c>
      <c r="F676" t="inlineStr">
        <is>
          <t>Allmännings- och besparingsskogar</t>
        </is>
      </c>
      <c r="G676" t="n">
        <v>3.3</v>
      </c>
      <c r="H676" t="n">
        <v>0</v>
      </c>
      <c r="I676" t="n">
        <v>0</v>
      </c>
      <c r="J676" t="n">
        <v>0</v>
      </c>
      <c r="K676" t="n">
        <v>0</v>
      </c>
      <c r="L676" t="n">
        <v>0</v>
      </c>
      <c r="M676" t="n">
        <v>0</v>
      </c>
      <c r="N676" t="n">
        <v>0</v>
      </c>
      <c r="O676" t="n">
        <v>0</v>
      </c>
      <c r="P676" t="n">
        <v>0</v>
      </c>
      <c r="Q676" t="n">
        <v>0</v>
      </c>
      <c r="R676" s="2" t="inlineStr"/>
    </row>
    <row r="677" ht="15" customHeight="1">
      <c r="A677" t="inlineStr">
        <is>
          <t>A 60701-2018</t>
        </is>
      </c>
      <c r="B677" s="1" t="n">
        <v>43409</v>
      </c>
      <c r="C677" s="1" t="n">
        <v>45210</v>
      </c>
      <c r="D677" t="inlineStr">
        <is>
          <t>DALARNAS LÄN</t>
        </is>
      </c>
      <c r="E677" t="inlineStr">
        <is>
          <t>MALUNG-SÄLEN</t>
        </is>
      </c>
      <c r="F677" t="inlineStr">
        <is>
          <t>Allmännings- och besparingsskogar</t>
        </is>
      </c>
      <c r="G677" t="n">
        <v>1.1</v>
      </c>
      <c r="H677" t="n">
        <v>0</v>
      </c>
      <c r="I677" t="n">
        <v>0</v>
      </c>
      <c r="J677" t="n">
        <v>0</v>
      </c>
      <c r="K677" t="n">
        <v>0</v>
      </c>
      <c r="L677" t="n">
        <v>0</v>
      </c>
      <c r="M677" t="n">
        <v>0</v>
      </c>
      <c r="N677" t="n">
        <v>0</v>
      </c>
      <c r="O677" t="n">
        <v>0</v>
      </c>
      <c r="P677" t="n">
        <v>0</v>
      </c>
      <c r="Q677" t="n">
        <v>0</v>
      </c>
      <c r="R677" s="2" t="inlineStr"/>
    </row>
    <row r="678" ht="15" customHeight="1">
      <c r="A678" t="inlineStr">
        <is>
          <t>A 58378-2018</t>
        </is>
      </c>
      <c r="B678" s="1" t="n">
        <v>43409</v>
      </c>
      <c r="C678" s="1" t="n">
        <v>45210</v>
      </c>
      <c r="D678" t="inlineStr">
        <is>
          <t>DALARNAS LÄN</t>
        </is>
      </c>
      <c r="E678" t="inlineStr">
        <is>
          <t>MALUNG-SÄLEN</t>
        </is>
      </c>
      <c r="G678" t="n">
        <v>3</v>
      </c>
      <c r="H678" t="n">
        <v>0</v>
      </c>
      <c r="I678" t="n">
        <v>0</v>
      </c>
      <c r="J678" t="n">
        <v>0</v>
      </c>
      <c r="K678" t="n">
        <v>0</v>
      </c>
      <c r="L678" t="n">
        <v>0</v>
      </c>
      <c r="M678" t="n">
        <v>0</v>
      </c>
      <c r="N678" t="n">
        <v>0</v>
      </c>
      <c r="O678" t="n">
        <v>0</v>
      </c>
      <c r="P678" t="n">
        <v>0</v>
      </c>
      <c r="Q678" t="n">
        <v>0</v>
      </c>
      <c r="R678" s="2" t="inlineStr"/>
    </row>
    <row r="679" ht="15" customHeight="1">
      <c r="A679" t="inlineStr">
        <is>
          <t>A 58783-2018</t>
        </is>
      </c>
      <c r="B679" s="1" t="n">
        <v>43410</v>
      </c>
      <c r="C679" s="1" t="n">
        <v>45210</v>
      </c>
      <c r="D679" t="inlineStr">
        <is>
          <t>DALARNAS LÄN</t>
        </is>
      </c>
      <c r="E679" t="inlineStr">
        <is>
          <t>RÄTTVIK</t>
        </is>
      </c>
      <c r="G679" t="n">
        <v>5.3</v>
      </c>
      <c r="H679" t="n">
        <v>0</v>
      </c>
      <c r="I679" t="n">
        <v>0</v>
      </c>
      <c r="J679" t="n">
        <v>0</v>
      </c>
      <c r="K679" t="n">
        <v>0</v>
      </c>
      <c r="L679" t="n">
        <v>0</v>
      </c>
      <c r="M679" t="n">
        <v>0</v>
      </c>
      <c r="N679" t="n">
        <v>0</v>
      </c>
      <c r="O679" t="n">
        <v>0</v>
      </c>
      <c r="P679" t="n">
        <v>0</v>
      </c>
      <c r="Q679" t="n">
        <v>0</v>
      </c>
      <c r="R679" s="2" t="inlineStr"/>
    </row>
    <row r="680" ht="15" customHeight="1">
      <c r="A680" t="inlineStr">
        <is>
          <t>A 58811-2018</t>
        </is>
      </c>
      <c r="B680" s="1" t="n">
        <v>43410</v>
      </c>
      <c r="C680" s="1" t="n">
        <v>45210</v>
      </c>
      <c r="D680" t="inlineStr">
        <is>
          <t>DALARNAS LÄN</t>
        </is>
      </c>
      <c r="E680" t="inlineStr">
        <is>
          <t>FALUN</t>
        </is>
      </c>
      <c r="G680" t="n">
        <v>2.2</v>
      </c>
      <c r="H680" t="n">
        <v>0</v>
      </c>
      <c r="I680" t="n">
        <v>0</v>
      </c>
      <c r="J680" t="n">
        <v>0</v>
      </c>
      <c r="K680" t="n">
        <v>0</v>
      </c>
      <c r="L680" t="n">
        <v>0</v>
      </c>
      <c r="M680" t="n">
        <v>0</v>
      </c>
      <c r="N680" t="n">
        <v>0</v>
      </c>
      <c r="O680" t="n">
        <v>0</v>
      </c>
      <c r="P680" t="n">
        <v>0</v>
      </c>
      <c r="Q680" t="n">
        <v>0</v>
      </c>
      <c r="R680" s="2" t="inlineStr"/>
      <c r="U680">
        <f>HYPERLINK("https://klasma.github.io/Logging_2080/knärot/A 58811-2018.png", "A 58811-2018")</f>
        <v/>
      </c>
      <c r="V680">
        <f>HYPERLINK("https://klasma.github.io/Logging_2080/klagomål/A 58811-2018.docx", "A 58811-2018")</f>
        <v/>
      </c>
      <c r="W680">
        <f>HYPERLINK("https://klasma.github.io/Logging_2080/klagomålsmail/A 58811-2018.docx", "A 58811-2018")</f>
        <v/>
      </c>
      <c r="X680">
        <f>HYPERLINK("https://klasma.github.io/Logging_2080/tillsyn/A 58811-2018.docx", "A 58811-2018")</f>
        <v/>
      </c>
      <c r="Y680">
        <f>HYPERLINK("https://klasma.github.io/Logging_2080/tillsynsmail/A 58811-2018.docx", "A 58811-2018")</f>
        <v/>
      </c>
    </row>
    <row r="681" ht="15" customHeight="1">
      <c r="A681" t="inlineStr">
        <is>
          <t>A 61719-2018</t>
        </is>
      </c>
      <c r="B681" s="1" t="n">
        <v>43410</v>
      </c>
      <c r="C681" s="1" t="n">
        <v>45210</v>
      </c>
      <c r="D681" t="inlineStr">
        <is>
          <t>DALARNAS LÄN</t>
        </is>
      </c>
      <c r="E681" t="inlineStr">
        <is>
          <t>GAGNEF</t>
        </is>
      </c>
      <c r="G681" t="n">
        <v>2.7</v>
      </c>
      <c r="H681" t="n">
        <v>0</v>
      </c>
      <c r="I681" t="n">
        <v>0</v>
      </c>
      <c r="J681" t="n">
        <v>0</v>
      </c>
      <c r="K681" t="n">
        <v>0</v>
      </c>
      <c r="L681" t="n">
        <v>0</v>
      </c>
      <c r="M681" t="n">
        <v>0</v>
      </c>
      <c r="N681" t="n">
        <v>0</v>
      </c>
      <c r="O681" t="n">
        <v>0</v>
      </c>
      <c r="P681" t="n">
        <v>0</v>
      </c>
      <c r="Q681" t="n">
        <v>0</v>
      </c>
      <c r="R681" s="2" t="inlineStr"/>
    </row>
    <row r="682" ht="15" customHeight="1">
      <c r="A682" t="inlineStr">
        <is>
          <t>A 58737-2018</t>
        </is>
      </c>
      <c r="B682" s="1" t="n">
        <v>43410</v>
      </c>
      <c r="C682" s="1" t="n">
        <v>45210</v>
      </c>
      <c r="D682" t="inlineStr">
        <is>
          <t>DALARNAS LÄN</t>
        </is>
      </c>
      <c r="E682" t="inlineStr">
        <is>
          <t>ÄLVDALEN</t>
        </is>
      </c>
      <c r="G682" t="n">
        <v>5.6</v>
      </c>
      <c r="H682" t="n">
        <v>0</v>
      </c>
      <c r="I682" t="n">
        <v>0</v>
      </c>
      <c r="J682" t="n">
        <v>0</v>
      </c>
      <c r="K682" t="n">
        <v>0</v>
      </c>
      <c r="L682" t="n">
        <v>0</v>
      </c>
      <c r="M682" t="n">
        <v>0</v>
      </c>
      <c r="N682" t="n">
        <v>0</v>
      </c>
      <c r="O682" t="n">
        <v>0</v>
      </c>
      <c r="P682" t="n">
        <v>0</v>
      </c>
      <c r="Q682" t="n">
        <v>0</v>
      </c>
      <c r="R682" s="2" t="inlineStr"/>
    </row>
    <row r="683" ht="15" customHeight="1">
      <c r="A683" t="inlineStr">
        <is>
          <t>A 58782-2018</t>
        </is>
      </c>
      <c r="B683" s="1" t="n">
        <v>43410</v>
      </c>
      <c r="C683" s="1" t="n">
        <v>45210</v>
      </c>
      <c r="D683" t="inlineStr">
        <is>
          <t>DALARNAS LÄN</t>
        </is>
      </c>
      <c r="E683" t="inlineStr">
        <is>
          <t>RÄTTVIK</t>
        </is>
      </c>
      <c r="G683" t="n">
        <v>5.3</v>
      </c>
      <c r="H683" t="n">
        <v>0</v>
      </c>
      <c r="I683" t="n">
        <v>0</v>
      </c>
      <c r="J683" t="n">
        <v>0</v>
      </c>
      <c r="K683" t="n">
        <v>0</v>
      </c>
      <c r="L683" t="n">
        <v>0</v>
      </c>
      <c r="M683" t="n">
        <v>0</v>
      </c>
      <c r="N683" t="n">
        <v>0</v>
      </c>
      <c r="O683" t="n">
        <v>0</v>
      </c>
      <c r="P683" t="n">
        <v>0</v>
      </c>
      <c r="Q683" t="n">
        <v>0</v>
      </c>
      <c r="R683" s="2" t="inlineStr"/>
    </row>
    <row r="684" ht="15" customHeight="1">
      <c r="A684" t="inlineStr">
        <is>
          <t>A 58829-2018</t>
        </is>
      </c>
      <c r="B684" s="1" t="n">
        <v>43410</v>
      </c>
      <c r="C684" s="1" t="n">
        <v>45210</v>
      </c>
      <c r="D684" t="inlineStr">
        <is>
          <t>DALARNAS LÄN</t>
        </is>
      </c>
      <c r="E684" t="inlineStr">
        <is>
          <t>LEKSAND</t>
        </is>
      </c>
      <c r="G684" t="n">
        <v>2</v>
      </c>
      <c r="H684" t="n">
        <v>0</v>
      </c>
      <c r="I684" t="n">
        <v>0</v>
      </c>
      <c r="J684" t="n">
        <v>0</v>
      </c>
      <c r="K684" t="n">
        <v>0</v>
      </c>
      <c r="L684" t="n">
        <v>0</v>
      </c>
      <c r="M684" t="n">
        <v>0</v>
      </c>
      <c r="N684" t="n">
        <v>0</v>
      </c>
      <c r="O684" t="n">
        <v>0</v>
      </c>
      <c r="P684" t="n">
        <v>0</v>
      </c>
      <c r="Q684" t="n">
        <v>0</v>
      </c>
      <c r="R684" s="2" t="inlineStr"/>
    </row>
    <row r="685" ht="15" customHeight="1">
      <c r="A685" t="inlineStr">
        <is>
          <t>A 59316-2018</t>
        </is>
      </c>
      <c r="B685" s="1" t="n">
        <v>43411</v>
      </c>
      <c r="C685" s="1" t="n">
        <v>45210</v>
      </c>
      <c r="D685" t="inlineStr">
        <is>
          <t>DALARNAS LÄN</t>
        </is>
      </c>
      <c r="E685" t="inlineStr">
        <is>
          <t>FALUN</t>
        </is>
      </c>
      <c r="G685" t="n">
        <v>19.2</v>
      </c>
      <c r="H685" t="n">
        <v>0</v>
      </c>
      <c r="I685" t="n">
        <v>0</v>
      </c>
      <c r="J685" t="n">
        <v>0</v>
      </c>
      <c r="K685" t="n">
        <v>0</v>
      </c>
      <c r="L685" t="n">
        <v>0</v>
      </c>
      <c r="M685" t="n">
        <v>0</v>
      </c>
      <c r="N685" t="n">
        <v>0</v>
      </c>
      <c r="O685" t="n">
        <v>0</v>
      </c>
      <c r="P685" t="n">
        <v>0</v>
      </c>
      <c r="Q685" t="n">
        <v>0</v>
      </c>
      <c r="R685" s="2" t="inlineStr"/>
    </row>
    <row r="686" ht="15" customHeight="1">
      <c r="A686" t="inlineStr">
        <is>
          <t>A 59312-2018</t>
        </is>
      </c>
      <c r="B686" s="1" t="n">
        <v>43411</v>
      </c>
      <c r="C686" s="1" t="n">
        <v>45210</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59781-2018</t>
        </is>
      </c>
      <c r="B687" s="1" t="n">
        <v>43411</v>
      </c>
      <c r="C687" s="1" t="n">
        <v>45210</v>
      </c>
      <c r="D687" t="inlineStr">
        <is>
          <t>DALARNAS LÄN</t>
        </is>
      </c>
      <c r="E687" t="inlineStr">
        <is>
          <t>LUDVIKA</t>
        </is>
      </c>
      <c r="G687" t="n">
        <v>0.9</v>
      </c>
      <c r="H687" t="n">
        <v>0</v>
      </c>
      <c r="I687" t="n">
        <v>0</v>
      </c>
      <c r="J687" t="n">
        <v>0</v>
      </c>
      <c r="K687" t="n">
        <v>0</v>
      </c>
      <c r="L687" t="n">
        <v>0</v>
      </c>
      <c r="M687" t="n">
        <v>0</v>
      </c>
      <c r="N687" t="n">
        <v>0</v>
      </c>
      <c r="O687" t="n">
        <v>0</v>
      </c>
      <c r="P687" t="n">
        <v>0</v>
      </c>
      <c r="Q687" t="n">
        <v>0</v>
      </c>
      <c r="R687" s="2" t="inlineStr"/>
    </row>
    <row r="688" ht="15" customHeight="1">
      <c r="A688" t="inlineStr">
        <is>
          <t>A 59786-2018</t>
        </is>
      </c>
      <c r="B688" s="1" t="n">
        <v>43411</v>
      </c>
      <c r="C688" s="1" t="n">
        <v>45210</v>
      </c>
      <c r="D688" t="inlineStr">
        <is>
          <t>DALARNAS LÄN</t>
        </is>
      </c>
      <c r="E688" t="inlineStr">
        <is>
          <t>LUDVIKA</t>
        </is>
      </c>
      <c r="G688" t="n">
        <v>2.1</v>
      </c>
      <c r="H688" t="n">
        <v>0</v>
      </c>
      <c r="I688" t="n">
        <v>0</v>
      </c>
      <c r="J688" t="n">
        <v>0</v>
      </c>
      <c r="K688" t="n">
        <v>0</v>
      </c>
      <c r="L688" t="n">
        <v>0</v>
      </c>
      <c r="M688" t="n">
        <v>0</v>
      </c>
      <c r="N688" t="n">
        <v>0</v>
      </c>
      <c r="O688" t="n">
        <v>0</v>
      </c>
      <c r="P688" t="n">
        <v>0</v>
      </c>
      <c r="Q688" t="n">
        <v>0</v>
      </c>
      <c r="R688" s="2" t="inlineStr"/>
    </row>
    <row r="689" ht="15" customHeight="1">
      <c r="A689" t="inlineStr">
        <is>
          <t>A 60909-2018</t>
        </is>
      </c>
      <c r="B689" s="1" t="n">
        <v>43411</v>
      </c>
      <c r="C689" s="1" t="n">
        <v>45210</v>
      </c>
      <c r="D689" t="inlineStr">
        <is>
          <t>DALARNAS LÄN</t>
        </is>
      </c>
      <c r="E689" t="inlineStr">
        <is>
          <t>RÄTTVIK</t>
        </is>
      </c>
      <c r="G689" t="n">
        <v>2.2</v>
      </c>
      <c r="H689" t="n">
        <v>0</v>
      </c>
      <c r="I689" t="n">
        <v>0</v>
      </c>
      <c r="J689" t="n">
        <v>0</v>
      </c>
      <c r="K689" t="n">
        <v>0</v>
      </c>
      <c r="L689" t="n">
        <v>0</v>
      </c>
      <c r="M689" t="n">
        <v>0</v>
      </c>
      <c r="N689" t="n">
        <v>0</v>
      </c>
      <c r="O689" t="n">
        <v>0</v>
      </c>
      <c r="P689" t="n">
        <v>0</v>
      </c>
      <c r="Q689" t="n">
        <v>0</v>
      </c>
      <c r="R689" s="2" t="inlineStr"/>
    </row>
    <row r="690" ht="15" customHeight="1">
      <c r="A690" t="inlineStr">
        <is>
          <t>A 60071-2018</t>
        </is>
      </c>
      <c r="B690" s="1" t="n">
        <v>43412</v>
      </c>
      <c r="C690" s="1" t="n">
        <v>45210</v>
      </c>
      <c r="D690" t="inlineStr">
        <is>
          <t>DALARNAS LÄN</t>
        </is>
      </c>
      <c r="E690" t="inlineStr">
        <is>
          <t>ÄLVDALEN</t>
        </is>
      </c>
      <c r="G690" t="n">
        <v>1.1</v>
      </c>
      <c r="H690" t="n">
        <v>0</v>
      </c>
      <c r="I690" t="n">
        <v>0</v>
      </c>
      <c r="J690" t="n">
        <v>0</v>
      </c>
      <c r="K690" t="n">
        <v>0</v>
      </c>
      <c r="L690" t="n">
        <v>0</v>
      </c>
      <c r="M690" t="n">
        <v>0</v>
      </c>
      <c r="N690" t="n">
        <v>0</v>
      </c>
      <c r="O690" t="n">
        <v>0</v>
      </c>
      <c r="P690" t="n">
        <v>0</v>
      </c>
      <c r="Q690" t="n">
        <v>0</v>
      </c>
      <c r="R690" s="2" t="inlineStr"/>
    </row>
    <row r="691" ht="15" customHeight="1">
      <c r="A691" t="inlineStr">
        <is>
          <t>A 61244-2018</t>
        </is>
      </c>
      <c r="B691" s="1" t="n">
        <v>43412</v>
      </c>
      <c r="C691" s="1" t="n">
        <v>45210</v>
      </c>
      <c r="D691" t="inlineStr">
        <is>
          <t>DALARNAS LÄN</t>
        </is>
      </c>
      <c r="E691" t="inlineStr">
        <is>
          <t>RÄTTVIK</t>
        </is>
      </c>
      <c r="G691" t="n">
        <v>0.8</v>
      </c>
      <c r="H691" t="n">
        <v>0</v>
      </c>
      <c r="I691" t="n">
        <v>0</v>
      </c>
      <c r="J691" t="n">
        <v>0</v>
      </c>
      <c r="K691" t="n">
        <v>0</v>
      </c>
      <c r="L691" t="n">
        <v>0</v>
      </c>
      <c r="M691" t="n">
        <v>0</v>
      </c>
      <c r="N691" t="n">
        <v>0</v>
      </c>
      <c r="O691" t="n">
        <v>0</v>
      </c>
      <c r="P691" t="n">
        <v>0</v>
      </c>
      <c r="Q691" t="n">
        <v>0</v>
      </c>
      <c r="R691" s="2" t="inlineStr"/>
    </row>
    <row r="692" ht="15" customHeight="1">
      <c r="A692" t="inlineStr">
        <is>
          <t>A 60044-2018</t>
        </is>
      </c>
      <c r="B692" s="1" t="n">
        <v>43412</v>
      </c>
      <c r="C692" s="1" t="n">
        <v>45210</v>
      </c>
      <c r="D692" t="inlineStr">
        <is>
          <t>DALARNAS LÄN</t>
        </is>
      </c>
      <c r="E692" t="inlineStr">
        <is>
          <t>ÄLVDALEN</t>
        </is>
      </c>
      <c r="G692" t="n">
        <v>1.6</v>
      </c>
      <c r="H692" t="n">
        <v>0</v>
      </c>
      <c r="I692" t="n">
        <v>0</v>
      </c>
      <c r="J692" t="n">
        <v>0</v>
      </c>
      <c r="K692" t="n">
        <v>0</v>
      </c>
      <c r="L692" t="n">
        <v>0</v>
      </c>
      <c r="M692" t="n">
        <v>0</v>
      </c>
      <c r="N692" t="n">
        <v>0</v>
      </c>
      <c r="O692" t="n">
        <v>0</v>
      </c>
      <c r="P692" t="n">
        <v>0</v>
      </c>
      <c r="Q692" t="n">
        <v>0</v>
      </c>
      <c r="R692" s="2" t="inlineStr"/>
    </row>
    <row r="693" ht="15" customHeight="1">
      <c r="A693" t="inlineStr">
        <is>
          <t>A 60048-2018</t>
        </is>
      </c>
      <c r="B693" s="1" t="n">
        <v>43412</v>
      </c>
      <c r="C693" s="1" t="n">
        <v>45210</v>
      </c>
      <c r="D693" t="inlineStr">
        <is>
          <t>DALARNAS LÄN</t>
        </is>
      </c>
      <c r="E693" t="inlineStr">
        <is>
          <t>ÄLVDALEN</t>
        </is>
      </c>
      <c r="G693" t="n">
        <v>0.7</v>
      </c>
      <c r="H693" t="n">
        <v>0</v>
      </c>
      <c r="I693" t="n">
        <v>0</v>
      </c>
      <c r="J693" t="n">
        <v>0</v>
      </c>
      <c r="K693" t="n">
        <v>0</v>
      </c>
      <c r="L693" t="n">
        <v>0</v>
      </c>
      <c r="M693" t="n">
        <v>0</v>
      </c>
      <c r="N693" t="n">
        <v>0</v>
      </c>
      <c r="O693" t="n">
        <v>0</v>
      </c>
      <c r="P693" t="n">
        <v>0</v>
      </c>
      <c r="Q693" t="n">
        <v>0</v>
      </c>
      <c r="R693" s="2" t="inlineStr"/>
    </row>
    <row r="694" ht="15" customHeight="1">
      <c r="A694" t="inlineStr">
        <is>
          <t>A 60038-2018</t>
        </is>
      </c>
      <c r="B694" s="1" t="n">
        <v>43412</v>
      </c>
      <c r="C694" s="1" t="n">
        <v>45210</v>
      </c>
      <c r="D694" t="inlineStr">
        <is>
          <t>DALARNAS LÄN</t>
        </is>
      </c>
      <c r="E694" t="inlineStr">
        <is>
          <t>ÄLVDALEN</t>
        </is>
      </c>
      <c r="G694" t="n">
        <v>0.6</v>
      </c>
      <c r="H694" t="n">
        <v>0</v>
      </c>
      <c r="I694" t="n">
        <v>0</v>
      </c>
      <c r="J694" t="n">
        <v>0</v>
      </c>
      <c r="K694" t="n">
        <v>0</v>
      </c>
      <c r="L694" t="n">
        <v>0</v>
      </c>
      <c r="M694" t="n">
        <v>0</v>
      </c>
      <c r="N694" t="n">
        <v>0</v>
      </c>
      <c r="O694" t="n">
        <v>0</v>
      </c>
      <c r="P694" t="n">
        <v>0</v>
      </c>
      <c r="Q694" t="n">
        <v>0</v>
      </c>
      <c r="R694" s="2" t="inlineStr"/>
    </row>
    <row r="695" ht="15" customHeight="1">
      <c r="A695" t="inlineStr">
        <is>
          <t>A 60047-2018</t>
        </is>
      </c>
      <c r="B695" s="1" t="n">
        <v>43412</v>
      </c>
      <c r="C695" s="1" t="n">
        <v>45210</v>
      </c>
      <c r="D695" t="inlineStr">
        <is>
          <t>DALARNAS LÄN</t>
        </is>
      </c>
      <c r="E695" t="inlineStr">
        <is>
          <t>MALUNG-SÄLEN</t>
        </is>
      </c>
      <c r="G695" t="n">
        <v>6.3</v>
      </c>
      <c r="H695" t="n">
        <v>0</v>
      </c>
      <c r="I695" t="n">
        <v>0</v>
      </c>
      <c r="J695" t="n">
        <v>0</v>
      </c>
      <c r="K695" t="n">
        <v>0</v>
      </c>
      <c r="L695" t="n">
        <v>0</v>
      </c>
      <c r="M695" t="n">
        <v>0</v>
      </c>
      <c r="N695" t="n">
        <v>0</v>
      </c>
      <c r="O695" t="n">
        <v>0</v>
      </c>
      <c r="P695" t="n">
        <v>0</v>
      </c>
      <c r="Q695" t="n">
        <v>0</v>
      </c>
      <c r="R695" s="2" t="inlineStr"/>
    </row>
    <row r="696" ht="15" customHeight="1">
      <c r="A696" t="inlineStr">
        <is>
          <t>A 60285-2018</t>
        </is>
      </c>
      <c r="B696" s="1" t="n">
        <v>43413</v>
      </c>
      <c r="C696" s="1" t="n">
        <v>45210</v>
      </c>
      <c r="D696" t="inlineStr">
        <is>
          <t>DALARNAS LÄN</t>
        </is>
      </c>
      <c r="E696" t="inlineStr">
        <is>
          <t>LUDVIKA</t>
        </is>
      </c>
      <c r="F696" t="inlineStr">
        <is>
          <t>Kommuner</t>
        </is>
      </c>
      <c r="G696" t="n">
        <v>3.4</v>
      </c>
      <c r="H696" t="n">
        <v>0</v>
      </c>
      <c r="I696" t="n">
        <v>0</v>
      </c>
      <c r="J696" t="n">
        <v>0</v>
      </c>
      <c r="K696" t="n">
        <v>0</v>
      </c>
      <c r="L696" t="n">
        <v>0</v>
      </c>
      <c r="M696" t="n">
        <v>0</v>
      </c>
      <c r="N696" t="n">
        <v>0</v>
      </c>
      <c r="O696" t="n">
        <v>0</v>
      </c>
      <c r="P696" t="n">
        <v>0</v>
      </c>
      <c r="Q696" t="n">
        <v>0</v>
      </c>
      <c r="R696" s="2" t="inlineStr"/>
    </row>
    <row r="697" ht="15" customHeight="1">
      <c r="A697" t="inlineStr">
        <is>
          <t>A 61564-2018</t>
        </is>
      </c>
      <c r="B697" s="1" t="n">
        <v>43413</v>
      </c>
      <c r="C697" s="1" t="n">
        <v>45210</v>
      </c>
      <c r="D697" t="inlineStr">
        <is>
          <t>DALARNAS LÄN</t>
        </is>
      </c>
      <c r="E697" t="inlineStr">
        <is>
          <t>LEKSAND</t>
        </is>
      </c>
      <c r="G697" t="n">
        <v>1.1</v>
      </c>
      <c r="H697" t="n">
        <v>0</v>
      </c>
      <c r="I697" t="n">
        <v>0</v>
      </c>
      <c r="J697" t="n">
        <v>0</v>
      </c>
      <c r="K697" t="n">
        <v>0</v>
      </c>
      <c r="L697" t="n">
        <v>0</v>
      </c>
      <c r="M697" t="n">
        <v>0</v>
      </c>
      <c r="N697" t="n">
        <v>0</v>
      </c>
      <c r="O697" t="n">
        <v>0</v>
      </c>
      <c r="P697" t="n">
        <v>0</v>
      </c>
      <c r="Q697" t="n">
        <v>0</v>
      </c>
      <c r="R697" s="2" t="inlineStr"/>
    </row>
    <row r="698" ht="15" customHeight="1">
      <c r="A698" t="inlineStr">
        <is>
          <t>A 61873-2018</t>
        </is>
      </c>
      <c r="B698" s="1" t="n">
        <v>43413</v>
      </c>
      <c r="C698" s="1" t="n">
        <v>45210</v>
      </c>
      <c r="D698" t="inlineStr">
        <is>
          <t>DALARNAS LÄN</t>
        </is>
      </c>
      <c r="E698" t="inlineStr">
        <is>
          <t>GAGNEF</t>
        </is>
      </c>
      <c r="G698" t="n">
        <v>12.5</v>
      </c>
      <c r="H698" t="n">
        <v>0</v>
      </c>
      <c r="I698" t="n">
        <v>0</v>
      </c>
      <c r="J698" t="n">
        <v>0</v>
      </c>
      <c r="K698" t="n">
        <v>0</v>
      </c>
      <c r="L698" t="n">
        <v>0</v>
      </c>
      <c r="M698" t="n">
        <v>0</v>
      </c>
      <c r="N698" t="n">
        <v>0</v>
      </c>
      <c r="O698" t="n">
        <v>0</v>
      </c>
      <c r="P698" t="n">
        <v>0</v>
      </c>
      <c r="Q698" t="n">
        <v>0</v>
      </c>
      <c r="R698" s="2" t="inlineStr"/>
    </row>
    <row r="699" ht="15" customHeight="1">
      <c r="A699" t="inlineStr">
        <is>
          <t>A 62674-2018</t>
        </is>
      </c>
      <c r="B699" s="1" t="n">
        <v>43413</v>
      </c>
      <c r="C699" s="1" t="n">
        <v>45210</v>
      </c>
      <c r="D699" t="inlineStr">
        <is>
          <t>DALARNAS LÄN</t>
        </is>
      </c>
      <c r="E699" t="inlineStr">
        <is>
          <t>ÄLVDALEN</t>
        </is>
      </c>
      <c r="F699" t="inlineStr">
        <is>
          <t>Övriga statliga verk och myndigheter</t>
        </is>
      </c>
      <c r="G699" t="n">
        <v>0.9</v>
      </c>
      <c r="H699" t="n">
        <v>0</v>
      </c>
      <c r="I699" t="n">
        <v>0</v>
      </c>
      <c r="J699" t="n">
        <v>0</v>
      </c>
      <c r="K699" t="n">
        <v>0</v>
      </c>
      <c r="L699" t="n">
        <v>0</v>
      </c>
      <c r="M699" t="n">
        <v>0</v>
      </c>
      <c r="N699" t="n">
        <v>0</v>
      </c>
      <c r="O699" t="n">
        <v>0</v>
      </c>
      <c r="P699" t="n">
        <v>0</v>
      </c>
      <c r="Q699" t="n">
        <v>0</v>
      </c>
      <c r="R699" s="2" t="inlineStr"/>
    </row>
    <row r="700" ht="15" customHeight="1">
      <c r="A700" t="inlineStr">
        <is>
          <t>A 62731-2018</t>
        </is>
      </c>
      <c r="B700" s="1" t="n">
        <v>43413</v>
      </c>
      <c r="C700" s="1" t="n">
        <v>45210</v>
      </c>
      <c r="D700" t="inlineStr">
        <is>
          <t>DALARNAS LÄN</t>
        </is>
      </c>
      <c r="E700" t="inlineStr">
        <is>
          <t>FALUN</t>
        </is>
      </c>
      <c r="G700" t="n">
        <v>2.1</v>
      </c>
      <c r="H700" t="n">
        <v>0</v>
      </c>
      <c r="I700" t="n">
        <v>0</v>
      </c>
      <c r="J700" t="n">
        <v>0</v>
      </c>
      <c r="K700" t="n">
        <v>0</v>
      </c>
      <c r="L700" t="n">
        <v>0</v>
      </c>
      <c r="M700" t="n">
        <v>0</v>
      </c>
      <c r="N700" t="n">
        <v>0</v>
      </c>
      <c r="O700" t="n">
        <v>0</v>
      </c>
      <c r="P700" t="n">
        <v>0</v>
      </c>
      <c r="Q700" t="n">
        <v>0</v>
      </c>
      <c r="R700" s="2" t="inlineStr"/>
    </row>
    <row r="701" ht="15" customHeight="1">
      <c r="A701" t="inlineStr">
        <is>
          <t>A 61874-2018</t>
        </is>
      </c>
      <c r="B701" s="1" t="n">
        <v>43413</v>
      </c>
      <c r="C701" s="1" t="n">
        <v>45210</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62665-2018</t>
        </is>
      </c>
      <c r="B702" s="1" t="n">
        <v>43413</v>
      </c>
      <c r="C702" s="1" t="n">
        <v>45210</v>
      </c>
      <c r="D702" t="inlineStr">
        <is>
          <t>DALARNAS LÄN</t>
        </is>
      </c>
      <c r="E702" t="inlineStr">
        <is>
          <t>ÄLVDALEN</t>
        </is>
      </c>
      <c r="G702" t="n">
        <v>4.5</v>
      </c>
      <c r="H702" t="n">
        <v>0</v>
      </c>
      <c r="I702" t="n">
        <v>0</v>
      </c>
      <c r="J702" t="n">
        <v>0</v>
      </c>
      <c r="K702" t="n">
        <v>0</v>
      </c>
      <c r="L702" t="n">
        <v>0</v>
      </c>
      <c r="M702" t="n">
        <v>0</v>
      </c>
      <c r="N702" t="n">
        <v>0</v>
      </c>
      <c r="O702" t="n">
        <v>0</v>
      </c>
      <c r="P702" t="n">
        <v>0</v>
      </c>
      <c r="Q702" t="n">
        <v>0</v>
      </c>
      <c r="R702" s="2" t="inlineStr"/>
    </row>
    <row r="703" ht="15" customHeight="1">
      <c r="A703" t="inlineStr">
        <is>
          <t>A 62061-2018</t>
        </is>
      </c>
      <c r="B703" s="1" t="n">
        <v>43416</v>
      </c>
      <c r="C703" s="1" t="n">
        <v>45210</v>
      </c>
      <c r="D703" t="inlineStr">
        <is>
          <t>DALARNAS LÄN</t>
        </is>
      </c>
      <c r="E703" t="inlineStr">
        <is>
          <t>ORSA</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62359-2018</t>
        </is>
      </c>
      <c r="B704" s="1" t="n">
        <v>43416</v>
      </c>
      <c r="C704" s="1" t="n">
        <v>45210</v>
      </c>
      <c r="D704" t="inlineStr">
        <is>
          <t>DALARNAS LÄN</t>
        </is>
      </c>
      <c r="E704" t="inlineStr">
        <is>
          <t>ORSA</t>
        </is>
      </c>
      <c r="G704" t="n">
        <v>1.2</v>
      </c>
      <c r="H704" t="n">
        <v>0</v>
      </c>
      <c r="I704" t="n">
        <v>0</v>
      </c>
      <c r="J704" t="n">
        <v>0</v>
      </c>
      <c r="K704" t="n">
        <v>0</v>
      </c>
      <c r="L704" t="n">
        <v>0</v>
      </c>
      <c r="M704" t="n">
        <v>0</v>
      </c>
      <c r="N704" t="n">
        <v>0</v>
      </c>
      <c r="O704" t="n">
        <v>0</v>
      </c>
      <c r="P704" t="n">
        <v>0</v>
      </c>
      <c r="Q704" t="n">
        <v>0</v>
      </c>
      <c r="R704" s="2" t="inlineStr"/>
    </row>
    <row r="705" ht="15" customHeight="1">
      <c r="A705" t="inlineStr">
        <is>
          <t>A 62418-2018</t>
        </is>
      </c>
      <c r="B705" s="1" t="n">
        <v>43416</v>
      </c>
      <c r="C705" s="1" t="n">
        <v>45210</v>
      </c>
      <c r="D705" t="inlineStr">
        <is>
          <t>DALARNAS LÄN</t>
        </is>
      </c>
      <c r="E705" t="inlineStr">
        <is>
          <t>MALUNG-SÄLEN</t>
        </is>
      </c>
      <c r="G705" t="n">
        <v>3.2</v>
      </c>
      <c r="H705" t="n">
        <v>0</v>
      </c>
      <c r="I705" t="n">
        <v>0</v>
      </c>
      <c r="J705" t="n">
        <v>0</v>
      </c>
      <c r="K705" t="n">
        <v>0</v>
      </c>
      <c r="L705" t="n">
        <v>0</v>
      </c>
      <c r="M705" t="n">
        <v>0</v>
      </c>
      <c r="N705" t="n">
        <v>0</v>
      </c>
      <c r="O705" t="n">
        <v>0</v>
      </c>
      <c r="P705" t="n">
        <v>0</v>
      </c>
      <c r="Q705" t="n">
        <v>0</v>
      </c>
      <c r="R705" s="2" t="inlineStr"/>
    </row>
    <row r="706" ht="15" customHeight="1">
      <c r="A706" t="inlineStr">
        <is>
          <t>A 62063-2018</t>
        </is>
      </c>
      <c r="B706" s="1" t="n">
        <v>43416</v>
      </c>
      <c r="C706" s="1" t="n">
        <v>45210</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62367-2018</t>
        </is>
      </c>
      <c r="B707" s="1" t="n">
        <v>43416</v>
      </c>
      <c r="C707" s="1" t="n">
        <v>45210</v>
      </c>
      <c r="D707" t="inlineStr">
        <is>
          <t>DALARNAS LÄN</t>
        </is>
      </c>
      <c r="E707" t="inlineStr">
        <is>
          <t>VANSBRO</t>
        </is>
      </c>
      <c r="F707" t="inlineStr">
        <is>
          <t>Bergvik skog väst AB</t>
        </is>
      </c>
      <c r="G707" t="n">
        <v>9</v>
      </c>
      <c r="H707" t="n">
        <v>0</v>
      </c>
      <c r="I707" t="n">
        <v>0</v>
      </c>
      <c r="J707" t="n">
        <v>0</v>
      </c>
      <c r="K707" t="n">
        <v>0</v>
      </c>
      <c r="L707" t="n">
        <v>0</v>
      </c>
      <c r="M707" t="n">
        <v>0</v>
      </c>
      <c r="N707" t="n">
        <v>0</v>
      </c>
      <c r="O707" t="n">
        <v>0</v>
      </c>
      <c r="P707" t="n">
        <v>0</v>
      </c>
      <c r="Q707" t="n">
        <v>0</v>
      </c>
      <c r="R707" s="2" t="inlineStr"/>
    </row>
    <row r="708" ht="15" customHeight="1">
      <c r="A708" t="inlineStr">
        <is>
          <t>A 62557-2018</t>
        </is>
      </c>
      <c r="B708" s="1" t="n">
        <v>43416</v>
      </c>
      <c r="C708" s="1" t="n">
        <v>45210</v>
      </c>
      <c r="D708" t="inlineStr">
        <is>
          <t>DALARNAS LÄN</t>
        </is>
      </c>
      <c r="E708" t="inlineStr">
        <is>
          <t>RÄTTVIK</t>
        </is>
      </c>
      <c r="G708" t="n">
        <v>2</v>
      </c>
      <c r="H708" t="n">
        <v>0</v>
      </c>
      <c r="I708" t="n">
        <v>0</v>
      </c>
      <c r="J708" t="n">
        <v>0</v>
      </c>
      <c r="K708" t="n">
        <v>0</v>
      </c>
      <c r="L708" t="n">
        <v>0</v>
      </c>
      <c r="M708" t="n">
        <v>0</v>
      </c>
      <c r="N708" t="n">
        <v>0</v>
      </c>
      <c r="O708" t="n">
        <v>0</v>
      </c>
      <c r="P708" t="n">
        <v>0</v>
      </c>
      <c r="Q708" t="n">
        <v>0</v>
      </c>
      <c r="R708" s="2" t="inlineStr"/>
    </row>
    <row r="709" ht="15" customHeight="1">
      <c r="A709" t="inlineStr">
        <is>
          <t>A 63401-2018</t>
        </is>
      </c>
      <c r="B709" s="1" t="n">
        <v>43416</v>
      </c>
      <c r="C709" s="1" t="n">
        <v>45210</v>
      </c>
      <c r="D709" t="inlineStr">
        <is>
          <t>DALARNAS LÄN</t>
        </is>
      </c>
      <c r="E709" t="inlineStr">
        <is>
          <t>FALUN</t>
        </is>
      </c>
      <c r="G709" t="n">
        <v>3.6</v>
      </c>
      <c r="H709" t="n">
        <v>0</v>
      </c>
      <c r="I709" t="n">
        <v>0</v>
      </c>
      <c r="J709" t="n">
        <v>0</v>
      </c>
      <c r="K709" t="n">
        <v>0</v>
      </c>
      <c r="L709" t="n">
        <v>0</v>
      </c>
      <c r="M709" t="n">
        <v>0</v>
      </c>
      <c r="N709" t="n">
        <v>0</v>
      </c>
      <c r="O709" t="n">
        <v>0</v>
      </c>
      <c r="P709" t="n">
        <v>0</v>
      </c>
      <c r="Q709" t="n">
        <v>0</v>
      </c>
      <c r="R709" s="2" t="inlineStr"/>
    </row>
    <row r="710" ht="15" customHeight="1">
      <c r="A710" t="inlineStr">
        <is>
          <t>A 62054-2018</t>
        </is>
      </c>
      <c r="B710" s="1" t="n">
        <v>43416</v>
      </c>
      <c r="C710" s="1" t="n">
        <v>45210</v>
      </c>
      <c r="D710" t="inlineStr">
        <is>
          <t>DALARNAS LÄN</t>
        </is>
      </c>
      <c r="E710" t="inlineStr">
        <is>
          <t>ORSA</t>
        </is>
      </c>
      <c r="G710" t="n">
        <v>7.3</v>
      </c>
      <c r="H710" t="n">
        <v>0</v>
      </c>
      <c r="I710" t="n">
        <v>0</v>
      </c>
      <c r="J710" t="n">
        <v>0</v>
      </c>
      <c r="K710" t="n">
        <v>0</v>
      </c>
      <c r="L710" t="n">
        <v>0</v>
      </c>
      <c r="M710" t="n">
        <v>0</v>
      </c>
      <c r="N710" t="n">
        <v>0</v>
      </c>
      <c r="O710" t="n">
        <v>0</v>
      </c>
      <c r="P710" t="n">
        <v>0</v>
      </c>
      <c r="Q710" t="n">
        <v>0</v>
      </c>
      <c r="R710" s="2" t="inlineStr"/>
    </row>
    <row r="711" ht="15" customHeight="1">
      <c r="A711" t="inlineStr">
        <is>
          <t>A 62103-2018</t>
        </is>
      </c>
      <c r="B711" s="1" t="n">
        <v>43416</v>
      </c>
      <c r="C711" s="1" t="n">
        <v>45210</v>
      </c>
      <c r="D711" t="inlineStr">
        <is>
          <t>DALARNAS LÄN</t>
        </is>
      </c>
      <c r="E711" t="inlineStr">
        <is>
          <t>RÄTTVIK</t>
        </is>
      </c>
      <c r="G711" t="n">
        <v>0.7</v>
      </c>
      <c r="H711" t="n">
        <v>0</v>
      </c>
      <c r="I711" t="n">
        <v>0</v>
      </c>
      <c r="J711" t="n">
        <v>0</v>
      </c>
      <c r="K711" t="n">
        <v>0</v>
      </c>
      <c r="L711" t="n">
        <v>0</v>
      </c>
      <c r="M711" t="n">
        <v>0</v>
      </c>
      <c r="N711" t="n">
        <v>0</v>
      </c>
      <c r="O711" t="n">
        <v>0</v>
      </c>
      <c r="P711" t="n">
        <v>0</v>
      </c>
      <c r="Q711" t="n">
        <v>0</v>
      </c>
      <c r="R711" s="2" t="inlineStr"/>
    </row>
    <row r="712" ht="15" customHeight="1">
      <c r="A712" t="inlineStr">
        <is>
          <t>A 62010-2018</t>
        </is>
      </c>
      <c r="B712" s="1" t="n">
        <v>43416</v>
      </c>
      <c r="C712" s="1" t="n">
        <v>45210</v>
      </c>
      <c r="D712" t="inlineStr">
        <is>
          <t>DALARNAS LÄN</t>
        </is>
      </c>
      <c r="E712" t="inlineStr">
        <is>
          <t>FALUN</t>
        </is>
      </c>
      <c r="G712" t="n">
        <v>0.4</v>
      </c>
      <c r="H712" t="n">
        <v>0</v>
      </c>
      <c r="I712" t="n">
        <v>0</v>
      </c>
      <c r="J712" t="n">
        <v>0</v>
      </c>
      <c r="K712" t="n">
        <v>0</v>
      </c>
      <c r="L712" t="n">
        <v>0</v>
      </c>
      <c r="M712" t="n">
        <v>0</v>
      </c>
      <c r="N712" t="n">
        <v>0</v>
      </c>
      <c r="O712" t="n">
        <v>0</v>
      </c>
      <c r="P712" t="n">
        <v>0</v>
      </c>
      <c r="Q712" t="n">
        <v>0</v>
      </c>
      <c r="R712" s="2" t="inlineStr"/>
    </row>
    <row r="713" ht="15" customHeight="1">
      <c r="A713" t="inlineStr">
        <is>
          <t>A 62034-2018</t>
        </is>
      </c>
      <c r="B713" s="1" t="n">
        <v>43416</v>
      </c>
      <c r="C713" s="1" t="n">
        <v>45210</v>
      </c>
      <c r="D713" t="inlineStr">
        <is>
          <t>DALARNAS LÄN</t>
        </is>
      </c>
      <c r="E713" t="inlineStr">
        <is>
          <t>LEKSAND</t>
        </is>
      </c>
      <c r="G713" t="n">
        <v>4.2</v>
      </c>
      <c r="H713" t="n">
        <v>0</v>
      </c>
      <c r="I713" t="n">
        <v>0</v>
      </c>
      <c r="J713" t="n">
        <v>0</v>
      </c>
      <c r="K713" t="n">
        <v>0</v>
      </c>
      <c r="L713" t="n">
        <v>0</v>
      </c>
      <c r="M713" t="n">
        <v>0</v>
      </c>
      <c r="N713" t="n">
        <v>0</v>
      </c>
      <c r="O713" t="n">
        <v>0</v>
      </c>
      <c r="P713" t="n">
        <v>0</v>
      </c>
      <c r="Q713" t="n">
        <v>0</v>
      </c>
      <c r="R713" s="2" t="inlineStr"/>
    </row>
    <row r="714" ht="15" customHeight="1">
      <c r="A714" t="inlineStr">
        <is>
          <t>A 62052-2018</t>
        </is>
      </c>
      <c r="B714" s="1" t="n">
        <v>43416</v>
      </c>
      <c r="C714" s="1" t="n">
        <v>45210</v>
      </c>
      <c r="D714" t="inlineStr">
        <is>
          <t>DALARNAS LÄN</t>
        </is>
      </c>
      <c r="E714" t="inlineStr">
        <is>
          <t>ORSA</t>
        </is>
      </c>
      <c r="G714" t="n">
        <v>1</v>
      </c>
      <c r="H714" t="n">
        <v>0</v>
      </c>
      <c r="I714" t="n">
        <v>0</v>
      </c>
      <c r="J714" t="n">
        <v>0</v>
      </c>
      <c r="K714" t="n">
        <v>0</v>
      </c>
      <c r="L714" t="n">
        <v>0</v>
      </c>
      <c r="M714" t="n">
        <v>0</v>
      </c>
      <c r="N714" t="n">
        <v>0</v>
      </c>
      <c r="O714" t="n">
        <v>0</v>
      </c>
      <c r="P714" t="n">
        <v>0</v>
      </c>
      <c r="Q714" t="n">
        <v>0</v>
      </c>
      <c r="R714" s="2" t="inlineStr"/>
    </row>
    <row r="715" ht="15" customHeight="1">
      <c r="A715" t="inlineStr">
        <is>
          <t>A 62078-2018</t>
        </is>
      </c>
      <c r="B715" s="1" t="n">
        <v>43416</v>
      </c>
      <c r="C715" s="1" t="n">
        <v>45210</v>
      </c>
      <c r="D715" t="inlineStr">
        <is>
          <t>DALARNAS LÄN</t>
        </is>
      </c>
      <c r="E715" t="inlineStr">
        <is>
          <t>RÄTTVIK</t>
        </is>
      </c>
      <c r="G715" t="n">
        <v>1.1</v>
      </c>
      <c r="H715" t="n">
        <v>0</v>
      </c>
      <c r="I715" t="n">
        <v>0</v>
      </c>
      <c r="J715" t="n">
        <v>0</v>
      </c>
      <c r="K715" t="n">
        <v>0</v>
      </c>
      <c r="L715" t="n">
        <v>0</v>
      </c>
      <c r="M715" t="n">
        <v>0</v>
      </c>
      <c r="N715" t="n">
        <v>0</v>
      </c>
      <c r="O715" t="n">
        <v>0</v>
      </c>
      <c r="P715" t="n">
        <v>0</v>
      </c>
      <c r="Q715" t="n">
        <v>0</v>
      </c>
      <c r="R715" s="2" t="inlineStr"/>
    </row>
    <row r="716" ht="15" customHeight="1">
      <c r="A716" t="inlineStr">
        <is>
          <t>A 62333-2018</t>
        </is>
      </c>
      <c r="B716" s="1" t="n">
        <v>43416</v>
      </c>
      <c r="C716" s="1" t="n">
        <v>45210</v>
      </c>
      <c r="D716" t="inlineStr">
        <is>
          <t>DALARNAS LÄN</t>
        </is>
      </c>
      <c r="E716" t="inlineStr">
        <is>
          <t>LUDVIKA</t>
        </is>
      </c>
      <c r="F716" t="inlineStr">
        <is>
          <t>Bergvik skog väst AB</t>
        </is>
      </c>
      <c r="G716" t="n">
        <v>2.9</v>
      </c>
      <c r="H716" t="n">
        <v>0</v>
      </c>
      <c r="I716" t="n">
        <v>0</v>
      </c>
      <c r="J716" t="n">
        <v>0</v>
      </c>
      <c r="K716" t="n">
        <v>0</v>
      </c>
      <c r="L716" t="n">
        <v>0</v>
      </c>
      <c r="M716" t="n">
        <v>0</v>
      </c>
      <c r="N716" t="n">
        <v>0</v>
      </c>
      <c r="O716" t="n">
        <v>0</v>
      </c>
      <c r="P716" t="n">
        <v>0</v>
      </c>
      <c r="Q716" t="n">
        <v>0</v>
      </c>
      <c r="R716" s="2" t="inlineStr"/>
    </row>
    <row r="717" ht="15" customHeight="1">
      <c r="A717" t="inlineStr">
        <is>
          <t>A 62435-2018</t>
        </is>
      </c>
      <c r="B717" s="1" t="n">
        <v>43416</v>
      </c>
      <c r="C717" s="1" t="n">
        <v>45210</v>
      </c>
      <c r="D717" t="inlineStr">
        <is>
          <t>DALARNAS LÄN</t>
        </is>
      </c>
      <c r="E717" t="inlineStr">
        <is>
          <t>GAGNEF</t>
        </is>
      </c>
      <c r="F717" t="inlineStr">
        <is>
          <t>Bergvik skog väst AB</t>
        </is>
      </c>
      <c r="G717" t="n">
        <v>7</v>
      </c>
      <c r="H717" t="n">
        <v>0</v>
      </c>
      <c r="I717" t="n">
        <v>0</v>
      </c>
      <c r="J717" t="n">
        <v>0</v>
      </c>
      <c r="K717" t="n">
        <v>0</v>
      </c>
      <c r="L717" t="n">
        <v>0</v>
      </c>
      <c r="M717" t="n">
        <v>0</v>
      </c>
      <c r="N717" t="n">
        <v>0</v>
      </c>
      <c r="O717" t="n">
        <v>0</v>
      </c>
      <c r="P717" t="n">
        <v>0</v>
      </c>
      <c r="Q717" t="n">
        <v>0</v>
      </c>
      <c r="R717" s="2" t="inlineStr"/>
    </row>
    <row r="718" ht="15" customHeight="1">
      <c r="A718" t="inlineStr">
        <is>
          <t>A 61981-2018</t>
        </is>
      </c>
      <c r="B718" s="1" t="n">
        <v>43417</v>
      </c>
      <c r="C718" s="1" t="n">
        <v>45210</v>
      </c>
      <c r="D718" t="inlineStr">
        <is>
          <t>DALARNAS LÄN</t>
        </is>
      </c>
      <c r="E718" t="inlineStr">
        <is>
          <t>MORA</t>
        </is>
      </c>
      <c r="G718" t="n">
        <v>5.5</v>
      </c>
      <c r="H718" t="n">
        <v>0</v>
      </c>
      <c r="I718" t="n">
        <v>0</v>
      </c>
      <c r="J718" t="n">
        <v>0</v>
      </c>
      <c r="K718" t="n">
        <v>0</v>
      </c>
      <c r="L718" t="n">
        <v>0</v>
      </c>
      <c r="M718" t="n">
        <v>0</v>
      </c>
      <c r="N718" t="n">
        <v>0</v>
      </c>
      <c r="O718" t="n">
        <v>0</v>
      </c>
      <c r="P718" t="n">
        <v>0</v>
      </c>
      <c r="Q718" t="n">
        <v>0</v>
      </c>
      <c r="R718" s="2" t="inlineStr"/>
    </row>
    <row r="719" ht="15" customHeight="1">
      <c r="A719" t="inlineStr">
        <is>
          <t>A 62785-2018</t>
        </is>
      </c>
      <c r="B719" s="1" t="n">
        <v>43417</v>
      </c>
      <c r="C719" s="1" t="n">
        <v>45210</v>
      </c>
      <c r="D719" t="inlineStr">
        <is>
          <t>DALARNAS LÄN</t>
        </is>
      </c>
      <c r="E719" t="inlineStr">
        <is>
          <t>SMEDJEBACKEN</t>
        </is>
      </c>
      <c r="G719" t="n">
        <v>0.8</v>
      </c>
      <c r="H719" t="n">
        <v>0</v>
      </c>
      <c r="I719" t="n">
        <v>0</v>
      </c>
      <c r="J719" t="n">
        <v>0</v>
      </c>
      <c r="K719" t="n">
        <v>0</v>
      </c>
      <c r="L719" t="n">
        <v>0</v>
      </c>
      <c r="M719" t="n">
        <v>0</v>
      </c>
      <c r="N719" t="n">
        <v>0</v>
      </c>
      <c r="O719" t="n">
        <v>0</v>
      </c>
      <c r="P719" t="n">
        <v>0</v>
      </c>
      <c r="Q719" t="n">
        <v>0</v>
      </c>
      <c r="R719" s="2" t="inlineStr"/>
    </row>
    <row r="720" ht="15" customHeight="1">
      <c r="A720" t="inlineStr">
        <is>
          <t>A 62003-2018</t>
        </is>
      </c>
      <c r="B720" s="1" t="n">
        <v>43417</v>
      </c>
      <c r="C720" s="1" t="n">
        <v>45210</v>
      </c>
      <c r="D720" t="inlineStr">
        <is>
          <t>DALARNAS LÄN</t>
        </is>
      </c>
      <c r="E720" t="inlineStr">
        <is>
          <t>SMEDJEBACKEN</t>
        </is>
      </c>
      <c r="G720" t="n">
        <v>0.7</v>
      </c>
      <c r="H720" t="n">
        <v>0</v>
      </c>
      <c r="I720" t="n">
        <v>0</v>
      </c>
      <c r="J720" t="n">
        <v>0</v>
      </c>
      <c r="K720" t="n">
        <v>0</v>
      </c>
      <c r="L720" t="n">
        <v>0</v>
      </c>
      <c r="M720" t="n">
        <v>0</v>
      </c>
      <c r="N720" t="n">
        <v>0</v>
      </c>
      <c r="O720" t="n">
        <v>0</v>
      </c>
      <c r="P720" t="n">
        <v>0</v>
      </c>
      <c r="Q720" t="n">
        <v>0</v>
      </c>
      <c r="R720" s="2" t="inlineStr"/>
    </row>
    <row r="721" ht="15" customHeight="1">
      <c r="A721" t="inlineStr">
        <is>
          <t>A 62767-2018</t>
        </is>
      </c>
      <c r="B721" s="1" t="n">
        <v>43417</v>
      </c>
      <c r="C721" s="1" t="n">
        <v>45210</v>
      </c>
      <c r="D721" t="inlineStr">
        <is>
          <t>DALARNAS LÄN</t>
        </is>
      </c>
      <c r="E721" t="inlineStr">
        <is>
          <t>MALUNG-SÄLEN</t>
        </is>
      </c>
      <c r="G721" t="n">
        <v>1</v>
      </c>
      <c r="H721" t="n">
        <v>0</v>
      </c>
      <c r="I721" t="n">
        <v>0</v>
      </c>
      <c r="J721" t="n">
        <v>0</v>
      </c>
      <c r="K721" t="n">
        <v>0</v>
      </c>
      <c r="L721" t="n">
        <v>0</v>
      </c>
      <c r="M721" t="n">
        <v>0</v>
      </c>
      <c r="N721" t="n">
        <v>0</v>
      </c>
      <c r="O721" t="n">
        <v>0</v>
      </c>
      <c r="P721" t="n">
        <v>0</v>
      </c>
      <c r="Q721" t="n">
        <v>0</v>
      </c>
      <c r="R721" s="2" t="inlineStr"/>
    </row>
    <row r="722" ht="15" customHeight="1">
      <c r="A722" t="inlineStr">
        <is>
          <t>A 62798-2018</t>
        </is>
      </c>
      <c r="B722" s="1" t="n">
        <v>43417</v>
      </c>
      <c r="C722" s="1" t="n">
        <v>45210</v>
      </c>
      <c r="D722" t="inlineStr">
        <is>
          <t>DALARNAS LÄN</t>
        </is>
      </c>
      <c r="E722" t="inlineStr">
        <is>
          <t>ÄLVDALEN</t>
        </is>
      </c>
      <c r="F722" t="inlineStr">
        <is>
          <t>Bergvik skog öst AB</t>
        </is>
      </c>
      <c r="G722" t="n">
        <v>6.5</v>
      </c>
      <c r="H722" t="n">
        <v>0</v>
      </c>
      <c r="I722" t="n">
        <v>0</v>
      </c>
      <c r="J722" t="n">
        <v>0</v>
      </c>
      <c r="K722" t="n">
        <v>0</v>
      </c>
      <c r="L722" t="n">
        <v>0</v>
      </c>
      <c r="M722" t="n">
        <v>0</v>
      </c>
      <c r="N722" t="n">
        <v>0</v>
      </c>
      <c r="O722" t="n">
        <v>0</v>
      </c>
      <c r="P722" t="n">
        <v>0</v>
      </c>
      <c r="Q722" t="n">
        <v>0</v>
      </c>
      <c r="R722" s="2" t="inlineStr"/>
    </row>
    <row r="723" ht="15" customHeight="1">
      <c r="A723" t="inlineStr">
        <is>
          <t>A 62812-2018</t>
        </is>
      </c>
      <c r="B723" s="1" t="n">
        <v>43417</v>
      </c>
      <c r="C723" s="1" t="n">
        <v>45210</v>
      </c>
      <c r="D723" t="inlineStr">
        <is>
          <t>DALARNAS LÄN</t>
        </is>
      </c>
      <c r="E723" t="inlineStr">
        <is>
          <t>MALUNG-SÄLEN</t>
        </is>
      </c>
      <c r="G723" t="n">
        <v>2.5</v>
      </c>
      <c r="H723" t="n">
        <v>0</v>
      </c>
      <c r="I723" t="n">
        <v>0</v>
      </c>
      <c r="J723" t="n">
        <v>0</v>
      </c>
      <c r="K723" t="n">
        <v>0</v>
      </c>
      <c r="L723" t="n">
        <v>0</v>
      </c>
      <c r="M723" t="n">
        <v>0</v>
      </c>
      <c r="N723" t="n">
        <v>0</v>
      </c>
      <c r="O723" t="n">
        <v>0</v>
      </c>
      <c r="P723" t="n">
        <v>0</v>
      </c>
      <c r="Q723" t="n">
        <v>0</v>
      </c>
      <c r="R723" s="2" t="inlineStr"/>
    </row>
    <row r="724" ht="15" customHeight="1">
      <c r="A724" t="inlineStr">
        <is>
          <t>A 62822-2018</t>
        </is>
      </c>
      <c r="B724" s="1" t="n">
        <v>43417</v>
      </c>
      <c r="C724" s="1" t="n">
        <v>45210</v>
      </c>
      <c r="D724" t="inlineStr">
        <is>
          <t>DALARNAS LÄN</t>
        </is>
      </c>
      <c r="E724" t="inlineStr">
        <is>
          <t>LUDVIKA</t>
        </is>
      </c>
      <c r="F724" t="inlineStr">
        <is>
          <t>Kommuner</t>
        </is>
      </c>
      <c r="G724" t="n">
        <v>3.9</v>
      </c>
      <c r="H724" t="n">
        <v>0</v>
      </c>
      <c r="I724" t="n">
        <v>0</v>
      </c>
      <c r="J724" t="n">
        <v>0</v>
      </c>
      <c r="K724" t="n">
        <v>0</v>
      </c>
      <c r="L724" t="n">
        <v>0</v>
      </c>
      <c r="M724" t="n">
        <v>0</v>
      </c>
      <c r="N724" t="n">
        <v>0</v>
      </c>
      <c r="O724" t="n">
        <v>0</v>
      </c>
      <c r="P724" t="n">
        <v>0</v>
      </c>
      <c r="Q724" t="n">
        <v>0</v>
      </c>
      <c r="R724" s="2" t="inlineStr"/>
    </row>
    <row r="725" ht="15" customHeight="1">
      <c r="A725" t="inlineStr">
        <is>
          <t>A 59189-2018</t>
        </is>
      </c>
      <c r="B725" s="1" t="n">
        <v>43417</v>
      </c>
      <c r="C725" s="1" t="n">
        <v>45210</v>
      </c>
      <c r="D725" t="inlineStr">
        <is>
          <t>DALARNAS LÄN</t>
        </is>
      </c>
      <c r="E725" t="inlineStr">
        <is>
          <t>SMEDJEBACKEN</t>
        </is>
      </c>
      <c r="G725" t="n">
        <v>11.7</v>
      </c>
      <c r="H725" t="n">
        <v>0</v>
      </c>
      <c r="I725" t="n">
        <v>0</v>
      </c>
      <c r="J725" t="n">
        <v>0</v>
      </c>
      <c r="K725" t="n">
        <v>0</v>
      </c>
      <c r="L725" t="n">
        <v>0</v>
      </c>
      <c r="M725" t="n">
        <v>0</v>
      </c>
      <c r="N725" t="n">
        <v>0</v>
      </c>
      <c r="O725" t="n">
        <v>0</v>
      </c>
      <c r="P725" t="n">
        <v>0</v>
      </c>
      <c r="Q725" t="n">
        <v>0</v>
      </c>
      <c r="R725" s="2" t="inlineStr"/>
    </row>
    <row r="726" ht="15" customHeight="1">
      <c r="A726" t="inlineStr">
        <is>
          <t>A 62004-2018</t>
        </is>
      </c>
      <c r="B726" s="1" t="n">
        <v>43417</v>
      </c>
      <c r="C726" s="1" t="n">
        <v>45210</v>
      </c>
      <c r="D726" t="inlineStr">
        <is>
          <t>DALARNAS LÄN</t>
        </is>
      </c>
      <c r="E726" t="inlineStr">
        <is>
          <t>GAGNEF</t>
        </is>
      </c>
      <c r="F726" t="inlineStr">
        <is>
          <t>Bergvik skog väst AB</t>
        </is>
      </c>
      <c r="G726" t="n">
        <v>7</v>
      </c>
      <c r="H726" t="n">
        <v>0</v>
      </c>
      <c r="I726" t="n">
        <v>0</v>
      </c>
      <c r="J726" t="n">
        <v>0</v>
      </c>
      <c r="K726" t="n">
        <v>0</v>
      </c>
      <c r="L726" t="n">
        <v>0</v>
      </c>
      <c r="M726" t="n">
        <v>0</v>
      </c>
      <c r="N726" t="n">
        <v>0</v>
      </c>
      <c r="O726" t="n">
        <v>0</v>
      </c>
      <c r="P726" t="n">
        <v>0</v>
      </c>
      <c r="Q726" t="n">
        <v>0</v>
      </c>
      <c r="R726" s="2" t="inlineStr"/>
    </row>
    <row r="727" ht="15" customHeight="1">
      <c r="A727" t="inlineStr">
        <is>
          <t>A 62781-2018</t>
        </is>
      </c>
      <c r="B727" s="1" t="n">
        <v>43417</v>
      </c>
      <c r="C727" s="1" t="n">
        <v>45210</v>
      </c>
      <c r="D727" t="inlineStr">
        <is>
          <t>DALARNAS LÄN</t>
        </is>
      </c>
      <c r="E727" t="inlineStr">
        <is>
          <t>SMEDJEBACKEN</t>
        </is>
      </c>
      <c r="G727" t="n">
        <v>18.8</v>
      </c>
      <c r="H727" t="n">
        <v>0</v>
      </c>
      <c r="I727" t="n">
        <v>0</v>
      </c>
      <c r="J727" t="n">
        <v>0</v>
      </c>
      <c r="K727" t="n">
        <v>0</v>
      </c>
      <c r="L727" t="n">
        <v>0</v>
      </c>
      <c r="M727" t="n">
        <v>0</v>
      </c>
      <c r="N727" t="n">
        <v>0</v>
      </c>
      <c r="O727" t="n">
        <v>0</v>
      </c>
      <c r="P727" t="n">
        <v>0</v>
      </c>
      <c r="Q727" t="n">
        <v>0</v>
      </c>
      <c r="R727" s="2" t="inlineStr"/>
    </row>
    <row r="728" ht="15" customHeight="1">
      <c r="A728" t="inlineStr">
        <is>
          <t>A 62800-2018</t>
        </is>
      </c>
      <c r="B728" s="1" t="n">
        <v>43417</v>
      </c>
      <c r="C728" s="1" t="n">
        <v>45210</v>
      </c>
      <c r="D728" t="inlineStr">
        <is>
          <t>DALARNAS LÄN</t>
        </is>
      </c>
      <c r="E728" t="inlineStr">
        <is>
          <t>SMEDJEBACKEN</t>
        </is>
      </c>
      <c r="G728" t="n">
        <v>1.1</v>
      </c>
      <c r="H728" t="n">
        <v>0</v>
      </c>
      <c r="I728" t="n">
        <v>0</v>
      </c>
      <c r="J728" t="n">
        <v>0</v>
      </c>
      <c r="K728" t="n">
        <v>0</v>
      </c>
      <c r="L728" t="n">
        <v>0</v>
      </c>
      <c r="M728" t="n">
        <v>0</v>
      </c>
      <c r="N728" t="n">
        <v>0</v>
      </c>
      <c r="O728" t="n">
        <v>0</v>
      </c>
      <c r="P728" t="n">
        <v>0</v>
      </c>
      <c r="Q728" t="n">
        <v>0</v>
      </c>
      <c r="R728" s="2" t="inlineStr"/>
    </row>
    <row r="729" ht="15" customHeight="1">
      <c r="A729" t="inlineStr">
        <is>
          <t>A 59350-2018</t>
        </is>
      </c>
      <c r="B729" s="1" t="n">
        <v>43418</v>
      </c>
      <c r="C729" s="1" t="n">
        <v>45210</v>
      </c>
      <c r="D729" t="inlineStr">
        <is>
          <t>DALARNAS LÄN</t>
        </is>
      </c>
      <c r="E729" t="inlineStr">
        <is>
          <t>HEDEMORA</t>
        </is>
      </c>
      <c r="G729" t="n">
        <v>0.6</v>
      </c>
      <c r="H729" t="n">
        <v>0</v>
      </c>
      <c r="I729" t="n">
        <v>0</v>
      </c>
      <c r="J729" t="n">
        <v>0</v>
      </c>
      <c r="K729" t="n">
        <v>0</v>
      </c>
      <c r="L729" t="n">
        <v>0</v>
      </c>
      <c r="M729" t="n">
        <v>0</v>
      </c>
      <c r="N729" t="n">
        <v>0</v>
      </c>
      <c r="O729" t="n">
        <v>0</v>
      </c>
      <c r="P729" t="n">
        <v>0</v>
      </c>
      <c r="Q729" t="n">
        <v>0</v>
      </c>
      <c r="R729" s="2" t="inlineStr"/>
    </row>
    <row r="730" ht="15" customHeight="1">
      <c r="A730" t="inlineStr">
        <is>
          <t>A 63134-2018</t>
        </is>
      </c>
      <c r="B730" s="1" t="n">
        <v>43418</v>
      </c>
      <c r="C730" s="1" t="n">
        <v>45210</v>
      </c>
      <c r="D730" t="inlineStr">
        <is>
          <t>DALARNAS LÄN</t>
        </is>
      </c>
      <c r="E730" t="inlineStr">
        <is>
          <t>ORSA</t>
        </is>
      </c>
      <c r="G730" t="n">
        <v>4.6</v>
      </c>
      <c r="H730" t="n">
        <v>0</v>
      </c>
      <c r="I730" t="n">
        <v>0</v>
      </c>
      <c r="J730" t="n">
        <v>0</v>
      </c>
      <c r="K730" t="n">
        <v>0</v>
      </c>
      <c r="L730" t="n">
        <v>0</v>
      </c>
      <c r="M730" t="n">
        <v>0</v>
      </c>
      <c r="N730" t="n">
        <v>0</v>
      </c>
      <c r="O730" t="n">
        <v>0</v>
      </c>
      <c r="P730" t="n">
        <v>0</v>
      </c>
      <c r="Q730" t="n">
        <v>0</v>
      </c>
      <c r="R730" s="2" t="inlineStr"/>
    </row>
    <row r="731" ht="15" customHeight="1">
      <c r="A731" t="inlineStr">
        <is>
          <t>A 64009-2018</t>
        </is>
      </c>
      <c r="B731" s="1" t="n">
        <v>43418</v>
      </c>
      <c r="C731" s="1" t="n">
        <v>45210</v>
      </c>
      <c r="D731" t="inlineStr">
        <is>
          <t>DALARNAS LÄN</t>
        </is>
      </c>
      <c r="E731" t="inlineStr">
        <is>
          <t>MORA</t>
        </is>
      </c>
      <c r="G731" t="n">
        <v>1.7</v>
      </c>
      <c r="H731" t="n">
        <v>0</v>
      </c>
      <c r="I731" t="n">
        <v>0</v>
      </c>
      <c r="J731" t="n">
        <v>0</v>
      </c>
      <c r="K731" t="n">
        <v>0</v>
      </c>
      <c r="L731" t="n">
        <v>0</v>
      </c>
      <c r="M731" t="n">
        <v>0</v>
      </c>
      <c r="N731" t="n">
        <v>0</v>
      </c>
      <c r="O731" t="n">
        <v>0</v>
      </c>
      <c r="P731" t="n">
        <v>0</v>
      </c>
      <c r="Q731" t="n">
        <v>0</v>
      </c>
      <c r="R731" s="2" t="inlineStr"/>
    </row>
    <row r="732" ht="15" customHeight="1">
      <c r="A732" t="inlineStr">
        <is>
          <t>A 59478-2018</t>
        </is>
      </c>
      <c r="B732" s="1" t="n">
        <v>43419</v>
      </c>
      <c r="C732" s="1" t="n">
        <v>45210</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59517-2018</t>
        </is>
      </c>
      <c r="B733" s="1" t="n">
        <v>43419</v>
      </c>
      <c r="C733" s="1" t="n">
        <v>45210</v>
      </c>
      <c r="D733" t="inlineStr">
        <is>
          <t>DALARNAS LÄN</t>
        </is>
      </c>
      <c r="E733" t="inlineStr">
        <is>
          <t>FALUN</t>
        </is>
      </c>
      <c r="F733" t="inlineStr">
        <is>
          <t>Bergvik skog väst AB</t>
        </is>
      </c>
      <c r="G733" t="n">
        <v>1.4</v>
      </c>
      <c r="H733" t="n">
        <v>0</v>
      </c>
      <c r="I733" t="n">
        <v>0</v>
      </c>
      <c r="J733" t="n">
        <v>0</v>
      </c>
      <c r="K733" t="n">
        <v>0</v>
      </c>
      <c r="L733" t="n">
        <v>0</v>
      </c>
      <c r="M733" t="n">
        <v>0</v>
      </c>
      <c r="N733" t="n">
        <v>0</v>
      </c>
      <c r="O733" t="n">
        <v>0</v>
      </c>
      <c r="P733" t="n">
        <v>0</v>
      </c>
      <c r="Q733" t="n">
        <v>0</v>
      </c>
      <c r="R733" s="2" t="inlineStr"/>
    </row>
    <row r="734" ht="15" customHeight="1">
      <c r="A734" t="inlineStr">
        <is>
          <t>A 59481-2018</t>
        </is>
      </c>
      <c r="B734" s="1" t="n">
        <v>43419</v>
      </c>
      <c r="C734" s="1" t="n">
        <v>45210</v>
      </c>
      <c r="D734" t="inlineStr">
        <is>
          <t>DALARNAS LÄN</t>
        </is>
      </c>
      <c r="E734" t="inlineStr">
        <is>
          <t>FALUN</t>
        </is>
      </c>
      <c r="F734" t="inlineStr">
        <is>
          <t>Bergvik skog väst AB</t>
        </is>
      </c>
      <c r="G734" t="n">
        <v>1.2</v>
      </c>
      <c r="H734" t="n">
        <v>0</v>
      </c>
      <c r="I734" t="n">
        <v>0</v>
      </c>
      <c r="J734" t="n">
        <v>0</v>
      </c>
      <c r="K734" t="n">
        <v>0</v>
      </c>
      <c r="L734" t="n">
        <v>0</v>
      </c>
      <c r="M734" t="n">
        <v>0</v>
      </c>
      <c r="N734" t="n">
        <v>0</v>
      </c>
      <c r="O734" t="n">
        <v>0</v>
      </c>
      <c r="P734" t="n">
        <v>0</v>
      </c>
      <c r="Q734" t="n">
        <v>0</v>
      </c>
      <c r="R734" s="2" t="inlineStr"/>
    </row>
    <row r="735" ht="15" customHeight="1">
      <c r="A735" t="inlineStr">
        <is>
          <t>A 59552-2018</t>
        </is>
      </c>
      <c r="B735" s="1" t="n">
        <v>43419</v>
      </c>
      <c r="C735" s="1" t="n">
        <v>45210</v>
      </c>
      <c r="D735" t="inlineStr">
        <is>
          <t>DALARNAS LÄN</t>
        </is>
      </c>
      <c r="E735" t="inlineStr">
        <is>
          <t>ÄLVDALEN</t>
        </is>
      </c>
      <c r="G735" t="n">
        <v>1.5</v>
      </c>
      <c r="H735" t="n">
        <v>0</v>
      </c>
      <c r="I735" t="n">
        <v>0</v>
      </c>
      <c r="J735" t="n">
        <v>0</v>
      </c>
      <c r="K735" t="n">
        <v>0</v>
      </c>
      <c r="L735" t="n">
        <v>0</v>
      </c>
      <c r="M735" t="n">
        <v>0</v>
      </c>
      <c r="N735" t="n">
        <v>0</v>
      </c>
      <c r="O735" t="n">
        <v>0</v>
      </c>
      <c r="P735" t="n">
        <v>0</v>
      </c>
      <c r="Q735" t="n">
        <v>0</v>
      </c>
      <c r="R735" s="2" t="inlineStr"/>
    </row>
    <row r="736" ht="15" customHeight="1">
      <c r="A736" t="inlineStr">
        <is>
          <t>A 59580-2018</t>
        </is>
      </c>
      <c r="B736" s="1" t="n">
        <v>43419</v>
      </c>
      <c r="C736" s="1" t="n">
        <v>45210</v>
      </c>
      <c r="D736" t="inlineStr">
        <is>
          <t>DALARNAS LÄN</t>
        </is>
      </c>
      <c r="E736" t="inlineStr">
        <is>
          <t>RÄTTVIK</t>
        </is>
      </c>
      <c r="G736" t="n">
        <v>0.7</v>
      </c>
      <c r="H736" t="n">
        <v>0</v>
      </c>
      <c r="I736" t="n">
        <v>0</v>
      </c>
      <c r="J736" t="n">
        <v>0</v>
      </c>
      <c r="K736" t="n">
        <v>0</v>
      </c>
      <c r="L736" t="n">
        <v>0</v>
      </c>
      <c r="M736" t="n">
        <v>0</v>
      </c>
      <c r="N736" t="n">
        <v>0</v>
      </c>
      <c r="O736" t="n">
        <v>0</v>
      </c>
      <c r="P736" t="n">
        <v>0</v>
      </c>
      <c r="Q736" t="n">
        <v>0</v>
      </c>
      <c r="R736" s="2" t="inlineStr"/>
    </row>
    <row r="737" ht="15" customHeight="1">
      <c r="A737" t="inlineStr">
        <is>
          <t>A 59594-2018</t>
        </is>
      </c>
      <c r="B737" s="1" t="n">
        <v>43419</v>
      </c>
      <c r="C737" s="1" t="n">
        <v>45210</v>
      </c>
      <c r="D737" t="inlineStr">
        <is>
          <t>DALARNAS LÄN</t>
        </is>
      </c>
      <c r="E737" t="inlineStr">
        <is>
          <t>SMEDJEBACKEN</t>
        </is>
      </c>
      <c r="G737" t="n">
        <v>0.6</v>
      </c>
      <c r="H737" t="n">
        <v>0</v>
      </c>
      <c r="I737" t="n">
        <v>0</v>
      </c>
      <c r="J737" t="n">
        <v>0</v>
      </c>
      <c r="K737" t="n">
        <v>0</v>
      </c>
      <c r="L737" t="n">
        <v>0</v>
      </c>
      <c r="M737" t="n">
        <v>0</v>
      </c>
      <c r="N737" t="n">
        <v>0</v>
      </c>
      <c r="O737" t="n">
        <v>0</v>
      </c>
      <c r="P737" t="n">
        <v>0</v>
      </c>
      <c r="Q737" t="n">
        <v>0</v>
      </c>
      <c r="R737" s="2" t="inlineStr"/>
    </row>
    <row r="738" ht="15" customHeight="1">
      <c r="A738" t="inlineStr">
        <is>
          <t>A 59461-2018</t>
        </is>
      </c>
      <c r="B738" s="1" t="n">
        <v>43419</v>
      </c>
      <c r="C738" s="1" t="n">
        <v>45210</v>
      </c>
      <c r="D738" t="inlineStr">
        <is>
          <t>DALARNAS LÄN</t>
        </is>
      </c>
      <c r="E738" t="inlineStr">
        <is>
          <t>ÄLVDALEN</t>
        </is>
      </c>
      <c r="F738" t="inlineStr">
        <is>
          <t>Allmännings- och besparingsskogar</t>
        </is>
      </c>
      <c r="G738" t="n">
        <v>5</v>
      </c>
      <c r="H738" t="n">
        <v>0</v>
      </c>
      <c r="I738" t="n">
        <v>0</v>
      </c>
      <c r="J738" t="n">
        <v>0</v>
      </c>
      <c r="K738" t="n">
        <v>0</v>
      </c>
      <c r="L738" t="n">
        <v>0</v>
      </c>
      <c r="M738" t="n">
        <v>0</v>
      </c>
      <c r="N738" t="n">
        <v>0</v>
      </c>
      <c r="O738" t="n">
        <v>0</v>
      </c>
      <c r="P738" t="n">
        <v>0</v>
      </c>
      <c r="Q738" t="n">
        <v>0</v>
      </c>
      <c r="R738" s="2" t="inlineStr"/>
    </row>
    <row r="739" ht="15" customHeight="1">
      <c r="A739" t="inlineStr">
        <is>
          <t>A 59866-2018</t>
        </is>
      </c>
      <c r="B739" s="1" t="n">
        <v>43419</v>
      </c>
      <c r="C739" s="1" t="n">
        <v>45210</v>
      </c>
      <c r="D739" t="inlineStr">
        <is>
          <t>DALARNAS LÄN</t>
        </is>
      </c>
      <c r="E739" t="inlineStr">
        <is>
          <t>SÄTER</t>
        </is>
      </c>
      <c r="G739" t="n">
        <v>4.4</v>
      </c>
      <c r="H739" t="n">
        <v>0</v>
      </c>
      <c r="I739" t="n">
        <v>0</v>
      </c>
      <c r="J739" t="n">
        <v>0</v>
      </c>
      <c r="K739" t="n">
        <v>0</v>
      </c>
      <c r="L739" t="n">
        <v>0</v>
      </c>
      <c r="M739" t="n">
        <v>0</v>
      </c>
      <c r="N739" t="n">
        <v>0</v>
      </c>
      <c r="O739" t="n">
        <v>0</v>
      </c>
      <c r="P739" t="n">
        <v>0</v>
      </c>
      <c r="Q739" t="n">
        <v>0</v>
      </c>
      <c r="R739" s="2" t="inlineStr"/>
    </row>
    <row r="740" ht="15" customHeight="1">
      <c r="A740" t="inlineStr">
        <is>
          <t>A 64315-2018</t>
        </is>
      </c>
      <c r="B740" s="1" t="n">
        <v>43419</v>
      </c>
      <c r="C740" s="1" t="n">
        <v>45210</v>
      </c>
      <c r="D740" t="inlineStr">
        <is>
          <t>DALARNAS LÄN</t>
        </is>
      </c>
      <c r="E740" t="inlineStr">
        <is>
          <t>RÄTTVIK</t>
        </is>
      </c>
      <c r="G740" t="n">
        <v>2.1</v>
      </c>
      <c r="H740" t="n">
        <v>0</v>
      </c>
      <c r="I740" t="n">
        <v>0</v>
      </c>
      <c r="J740" t="n">
        <v>0</v>
      </c>
      <c r="K740" t="n">
        <v>0</v>
      </c>
      <c r="L740" t="n">
        <v>0</v>
      </c>
      <c r="M740" t="n">
        <v>0</v>
      </c>
      <c r="N740" t="n">
        <v>0</v>
      </c>
      <c r="O740" t="n">
        <v>0</v>
      </c>
      <c r="P740" t="n">
        <v>0</v>
      </c>
      <c r="Q740" t="n">
        <v>0</v>
      </c>
      <c r="R740" s="2" t="inlineStr"/>
    </row>
    <row r="741" ht="15" customHeight="1">
      <c r="A741" t="inlineStr">
        <is>
          <t>A 60553-2018</t>
        </is>
      </c>
      <c r="B741" s="1" t="n">
        <v>43420</v>
      </c>
      <c r="C741" s="1" t="n">
        <v>45210</v>
      </c>
      <c r="D741" t="inlineStr">
        <is>
          <t>DALARNAS LÄN</t>
        </is>
      </c>
      <c r="E741" t="inlineStr">
        <is>
          <t>GAGNEF</t>
        </is>
      </c>
      <c r="G741" t="n">
        <v>10.4</v>
      </c>
      <c r="H741" t="n">
        <v>0</v>
      </c>
      <c r="I741" t="n">
        <v>0</v>
      </c>
      <c r="J741" t="n">
        <v>0</v>
      </c>
      <c r="K741" t="n">
        <v>0</v>
      </c>
      <c r="L741" t="n">
        <v>0</v>
      </c>
      <c r="M741" t="n">
        <v>0</v>
      </c>
      <c r="N741" t="n">
        <v>0</v>
      </c>
      <c r="O741" t="n">
        <v>0</v>
      </c>
      <c r="P741" t="n">
        <v>0</v>
      </c>
      <c r="Q741" t="n">
        <v>0</v>
      </c>
      <c r="R741" s="2" t="inlineStr"/>
    </row>
    <row r="742" ht="15" customHeight="1">
      <c r="A742" t="inlineStr">
        <is>
          <t>A 60540-2018</t>
        </is>
      </c>
      <c r="B742" s="1" t="n">
        <v>43420</v>
      </c>
      <c r="C742" s="1" t="n">
        <v>45210</v>
      </c>
      <c r="D742" t="inlineStr">
        <is>
          <t>DALARNAS LÄN</t>
        </is>
      </c>
      <c r="E742" t="inlineStr">
        <is>
          <t>GAGNEF</t>
        </is>
      </c>
      <c r="G742" t="n">
        <v>2.9</v>
      </c>
      <c r="H742" t="n">
        <v>0</v>
      </c>
      <c r="I742" t="n">
        <v>0</v>
      </c>
      <c r="J742" t="n">
        <v>0</v>
      </c>
      <c r="K742" t="n">
        <v>0</v>
      </c>
      <c r="L742" t="n">
        <v>0</v>
      </c>
      <c r="M742" t="n">
        <v>0</v>
      </c>
      <c r="N742" t="n">
        <v>0</v>
      </c>
      <c r="O742" t="n">
        <v>0</v>
      </c>
      <c r="P742" t="n">
        <v>0</v>
      </c>
      <c r="Q742" t="n">
        <v>0</v>
      </c>
      <c r="R742" s="2" t="inlineStr"/>
    </row>
    <row r="743" ht="15" customHeight="1">
      <c r="A743" t="inlineStr">
        <is>
          <t>A 60950-2018</t>
        </is>
      </c>
      <c r="B743" s="1" t="n">
        <v>43423</v>
      </c>
      <c r="C743" s="1" t="n">
        <v>45210</v>
      </c>
      <c r="D743" t="inlineStr">
        <is>
          <t>DALARNAS LÄN</t>
        </is>
      </c>
      <c r="E743" t="inlineStr">
        <is>
          <t>SÄTER</t>
        </is>
      </c>
      <c r="G743" t="n">
        <v>0.9</v>
      </c>
      <c r="H743" t="n">
        <v>0</v>
      </c>
      <c r="I743" t="n">
        <v>0</v>
      </c>
      <c r="J743" t="n">
        <v>0</v>
      </c>
      <c r="K743" t="n">
        <v>0</v>
      </c>
      <c r="L743" t="n">
        <v>0</v>
      </c>
      <c r="M743" t="n">
        <v>0</v>
      </c>
      <c r="N743" t="n">
        <v>0</v>
      </c>
      <c r="O743" t="n">
        <v>0</v>
      </c>
      <c r="P743" t="n">
        <v>0</v>
      </c>
      <c r="Q743" t="n">
        <v>0</v>
      </c>
      <c r="R743" s="2" t="inlineStr"/>
    </row>
    <row r="744" ht="15" customHeight="1">
      <c r="A744" t="inlineStr">
        <is>
          <t>A 61074-2018</t>
        </is>
      </c>
      <c r="B744" s="1" t="n">
        <v>43423</v>
      </c>
      <c r="C744" s="1" t="n">
        <v>45210</v>
      </c>
      <c r="D744" t="inlineStr">
        <is>
          <t>DALARNAS LÄN</t>
        </is>
      </c>
      <c r="E744" t="inlineStr">
        <is>
          <t>MORA</t>
        </is>
      </c>
      <c r="G744" t="n">
        <v>3.4</v>
      </c>
      <c r="H744" t="n">
        <v>0</v>
      </c>
      <c r="I744" t="n">
        <v>0</v>
      </c>
      <c r="J744" t="n">
        <v>0</v>
      </c>
      <c r="K744" t="n">
        <v>0</v>
      </c>
      <c r="L744" t="n">
        <v>0</v>
      </c>
      <c r="M744" t="n">
        <v>0</v>
      </c>
      <c r="N744" t="n">
        <v>0</v>
      </c>
      <c r="O744" t="n">
        <v>0</v>
      </c>
      <c r="P744" t="n">
        <v>0</v>
      </c>
      <c r="Q744" t="n">
        <v>0</v>
      </c>
      <c r="R744" s="2" t="inlineStr"/>
    </row>
    <row r="745" ht="15" customHeight="1">
      <c r="A745" t="inlineStr">
        <is>
          <t>A 61110-2018</t>
        </is>
      </c>
      <c r="B745" s="1" t="n">
        <v>43423</v>
      </c>
      <c r="C745" s="1" t="n">
        <v>45210</v>
      </c>
      <c r="D745" t="inlineStr">
        <is>
          <t>DALARNAS LÄN</t>
        </is>
      </c>
      <c r="E745" t="inlineStr">
        <is>
          <t>RÄTTVIK</t>
        </is>
      </c>
      <c r="F745" t="inlineStr">
        <is>
          <t>Bergvik skog väst AB</t>
        </is>
      </c>
      <c r="G745" t="n">
        <v>15</v>
      </c>
      <c r="H745" t="n">
        <v>0</v>
      </c>
      <c r="I745" t="n">
        <v>0</v>
      </c>
      <c r="J745" t="n">
        <v>0</v>
      </c>
      <c r="K745" t="n">
        <v>0</v>
      </c>
      <c r="L745" t="n">
        <v>0</v>
      </c>
      <c r="M745" t="n">
        <v>0</v>
      </c>
      <c r="N745" t="n">
        <v>0</v>
      </c>
      <c r="O745" t="n">
        <v>0</v>
      </c>
      <c r="P745" t="n">
        <v>0</v>
      </c>
      <c r="Q745" t="n">
        <v>0</v>
      </c>
      <c r="R745" s="2" t="inlineStr"/>
    </row>
    <row r="746" ht="15" customHeight="1">
      <c r="A746" t="inlineStr">
        <is>
          <t>A 61127-2018</t>
        </is>
      </c>
      <c r="B746" s="1" t="n">
        <v>43423</v>
      </c>
      <c r="C746" s="1" t="n">
        <v>45210</v>
      </c>
      <c r="D746" t="inlineStr">
        <is>
          <t>DALARNAS LÄN</t>
        </is>
      </c>
      <c r="E746" t="inlineStr">
        <is>
          <t>LEKSAND</t>
        </is>
      </c>
      <c r="F746" t="inlineStr">
        <is>
          <t>Bergvik skog väst AB</t>
        </is>
      </c>
      <c r="G746" t="n">
        <v>6</v>
      </c>
      <c r="H746" t="n">
        <v>0</v>
      </c>
      <c r="I746" t="n">
        <v>0</v>
      </c>
      <c r="J746" t="n">
        <v>0</v>
      </c>
      <c r="K746" t="n">
        <v>0</v>
      </c>
      <c r="L746" t="n">
        <v>0</v>
      </c>
      <c r="M746" t="n">
        <v>0</v>
      </c>
      <c r="N746" t="n">
        <v>0</v>
      </c>
      <c r="O746" t="n">
        <v>0</v>
      </c>
      <c r="P746" t="n">
        <v>0</v>
      </c>
      <c r="Q746" t="n">
        <v>0</v>
      </c>
      <c r="R746" s="2" t="inlineStr"/>
    </row>
    <row r="747" ht="15" customHeight="1">
      <c r="A747" t="inlineStr">
        <is>
          <t>A 61089-2018</t>
        </is>
      </c>
      <c r="B747" s="1" t="n">
        <v>43423</v>
      </c>
      <c r="C747" s="1" t="n">
        <v>45210</v>
      </c>
      <c r="D747" t="inlineStr">
        <is>
          <t>DALARNAS LÄN</t>
        </is>
      </c>
      <c r="E747" t="inlineStr">
        <is>
          <t>MORA</t>
        </is>
      </c>
      <c r="G747" t="n">
        <v>1.2</v>
      </c>
      <c r="H747" t="n">
        <v>0</v>
      </c>
      <c r="I747" t="n">
        <v>0</v>
      </c>
      <c r="J747" t="n">
        <v>0</v>
      </c>
      <c r="K747" t="n">
        <v>0</v>
      </c>
      <c r="L747" t="n">
        <v>0</v>
      </c>
      <c r="M747" t="n">
        <v>0</v>
      </c>
      <c r="N747" t="n">
        <v>0</v>
      </c>
      <c r="O747" t="n">
        <v>0</v>
      </c>
      <c r="P747" t="n">
        <v>0</v>
      </c>
      <c r="Q747" t="n">
        <v>0</v>
      </c>
      <c r="R747" s="2" t="inlineStr"/>
    </row>
    <row r="748" ht="15" customHeight="1">
      <c r="A748" t="inlineStr">
        <is>
          <t>A 61189-2018</t>
        </is>
      </c>
      <c r="B748" s="1" t="n">
        <v>43423</v>
      </c>
      <c r="C748" s="1" t="n">
        <v>45210</v>
      </c>
      <c r="D748" t="inlineStr">
        <is>
          <t>DALARNAS LÄN</t>
        </is>
      </c>
      <c r="E748" t="inlineStr">
        <is>
          <t>RÄTTVIK</t>
        </is>
      </c>
      <c r="F748" t="inlineStr">
        <is>
          <t>Bergvik skog väst AB</t>
        </is>
      </c>
      <c r="G748" t="n">
        <v>5.9</v>
      </c>
      <c r="H748" t="n">
        <v>0</v>
      </c>
      <c r="I748" t="n">
        <v>0</v>
      </c>
      <c r="J748" t="n">
        <v>0</v>
      </c>
      <c r="K748" t="n">
        <v>0</v>
      </c>
      <c r="L748" t="n">
        <v>0</v>
      </c>
      <c r="M748" t="n">
        <v>0</v>
      </c>
      <c r="N748" t="n">
        <v>0</v>
      </c>
      <c r="O748" t="n">
        <v>0</v>
      </c>
      <c r="P748" t="n">
        <v>0</v>
      </c>
      <c r="Q748" t="n">
        <v>0</v>
      </c>
      <c r="R748" s="2" t="inlineStr"/>
    </row>
    <row r="749" ht="15" customHeight="1">
      <c r="A749" t="inlineStr">
        <is>
          <t>A 61240-2018</t>
        </is>
      </c>
      <c r="B749" s="1" t="n">
        <v>43423</v>
      </c>
      <c r="C749" s="1" t="n">
        <v>45210</v>
      </c>
      <c r="D749" t="inlineStr">
        <is>
          <t>DALARNAS LÄN</t>
        </is>
      </c>
      <c r="E749" t="inlineStr">
        <is>
          <t>LEKSAND</t>
        </is>
      </c>
      <c r="F749" t="inlineStr">
        <is>
          <t>Bergvik skog väst AB</t>
        </is>
      </c>
      <c r="G749" t="n">
        <v>3.8</v>
      </c>
      <c r="H749" t="n">
        <v>0</v>
      </c>
      <c r="I749" t="n">
        <v>0</v>
      </c>
      <c r="J749" t="n">
        <v>0</v>
      </c>
      <c r="K749" t="n">
        <v>0</v>
      </c>
      <c r="L749" t="n">
        <v>0</v>
      </c>
      <c r="M749" t="n">
        <v>0</v>
      </c>
      <c r="N749" t="n">
        <v>0</v>
      </c>
      <c r="O749" t="n">
        <v>0</v>
      </c>
      <c r="P749" t="n">
        <v>0</v>
      </c>
      <c r="Q749" t="n">
        <v>0</v>
      </c>
      <c r="R749" s="2" t="inlineStr"/>
    </row>
    <row r="750" ht="15" customHeight="1">
      <c r="A750" t="inlineStr">
        <is>
          <t>A 60937-2018</t>
        </is>
      </c>
      <c r="B750" s="1" t="n">
        <v>43423</v>
      </c>
      <c r="C750" s="1" t="n">
        <v>45210</v>
      </c>
      <c r="D750" t="inlineStr">
        <is>
          <t>DALARNAS LÄN</t>
        </is>
      </c>
      <c r="E750" t="inlineStr">
        <is>
          <t>SÄTER</t>
        </is>
      </c>
      <c r="G750" t="n">
        <v>1.3</v>
      </c>
      <c r="H750" t="n">
        <v>0</v>
      </c>
      <c r="I750" t="n">
        <v>0</v>
      </c>
      <c r="J750" t="n">
        <v>0</v>
      </c>
      <c r="K750" t="n">
        <v>0</v>
      </c>
      <c r="L750" t="n">
        <v>0</v>
      </c>
      <c r="M750" t="n">
        <v>0</v>
      </c>
      <c r="N750" t="n">
        <v>0</v>
      </c>
      <c r="O750" t="n">
        <v>0</v>
      </c>
      <c r="P750" t="n">
        <v>0</v>
      </c>
      <c r="Q750" t="n">
        <v>0</v>
      </c>
      <c r="R750" s="2" t="inlineStr"/>
    </row>
    <row r="751" ht="15" customHeight="1">
      <c r="A751" t="inlineStr">
        <is>
          <t>A 60973-2018</t>
        </is>
      </c>
      <c r="B751" s="1" t="n">
        <v>43423</v>
      </c>
      <c r="C751" s="1" t="n">
        <v>45210</v>
      </c>
      <c r="D751" t="inlineStr">
        <is>
          <t>DALARNAS LÄN</t>
        </is>
      </c>
      <c r="E751" t="inlineStr">
        <is>
          <t>FALUN</t>
        </is>
      </c>
      <c r="G751" t="n">
        <v>4.2</v>
      </c>
      <c r="H751" t="n">
        <v>0</v>
      </c>
      <c r="I751" t="n">
        <v>0</v>
      </c>
      <c r="J751" t="n">
        <v>0</v>
      </c>
      <c r="K751" t="n">
        <v>0</v>
      </c>
      <c r="L751" t="n">
        <v>0</v>
      </c>
      <c r="M751" t="n">
        <v>0</v>
      </c>
      <c r="N751" t="n">
        <v>0</v>
      </c>
      <c r="O751" t="n">
        <v>0</v>
      </c>
      <c r="P751" t="n">
        <v>0</v>
      </c>
      <c r="Q751" t="n">
        <v>0</v>
      </c>
      <c r="R751" s="2" t="inlineStr"/>
    </row>
    <row r="752" ht="15" customHeight="1">
      <c r="A752" t="inlineStr">
        <is>
          <t>A 61115-2018</t>
        </is>
      </c>
      <c r="B752" s="1" t="n">
        <v>43423</v>
      </c>
      <c r="C752" s="1" t="n">
        <v>45210</v>
      </c>
      <c r="D752" t="inlineStr">
        <is>
          <t>DALARNAS LÄN</t>
        </is>
      </c>
      <c r="E752" t="inlineStr">
        <is>
          <t>ÄLVDALEN</t>
        </is>
      </c>
      <c r="G752" t="n">
        <v>1.7</v>
      </c>
      <c r="H752" t="n">
        <v>0</v>
      </c>
      <c r="I752" t="n">
        <v>0</v>
      </c>
      <c r="J752" t="n">
        <v>0</v>
      </c>
      <c r="K752" t="n">
        <v>0</v>
      </c>
      <c r="L752" t="n">
        <v>0</v>
      </c>
      <c r="M752" t="n">
        <v>0</v>
      </c>
      <c r="N752" t="n">
        <v>0</v>
      </c>
      <c r="O752" t="n">
        <v>0</v>
      </c>
      <c r="P752" t="n">
        <v>0</v>
      </c>
      <c r="Q752" t="n">
        <v>0</v>
      </c>
      <c r="R752" s="2" t="inlineStr"/>
    </row>
    <row r="753" ht="15" customHeight="1">
      <c r="A753" t="inlineStr">
        <is>
          <t>A 61216-2018</t>
        </is>
      </c>
      <c r="B753" s="1" t="n">
        <v>43423</v>
      </c>
      <c r="C753" s="1" t="n">
        <v>45210</v>
      </c>
      <c r="D753" t="inlineStr">
        <is>
          <t>DALARNAS LÄN</t>
        </is>
      </c>
      <c r="E753" t="inlineStr">
        <is>
          <t>RÄTTVIK</t>
        </is>
      </c>
      <c r="F753" t="inlineStr">
        <is>
          <t>Bergvik skog väst AB</t>
        </is>
      </c>
      <c r="G753" t="n">
        <v>14.7</v>
      </c>
      <c r="H753" t="n">
        <v>0</v>
      </c>
      <c r="I753" t="n">
        <v>0</v>
      </c>
      <c r="J753" t="n">
        <v>0</v>
      </c>
      <c r="K753" t="n">
        <v>0</v>
      </c>
      <c r="L753" t="n">
        <v>0</v>
      </c>
      <c r="M753" t="n">
        <v>0</v>
      </c>
      <c r="N753" t="n">
        <v>0</v>
      </c>
      <c r="O753" t="n">
        <v>0</v>
      </c>
      <c r="P753" t="n">
        <v>0</v>
      </c>
      <c r="Q753" t="n">
        <v>0</v>
      </c>
      <c r="R753" s="2" t="inlineStr"/>
    </row>
    <row r="754" ht="15" customHeight="1">
      <c r="A754" t="inlineStr">
        <is>
          <t>A 61581-2018</t>
        </is>
      </c>
      <c r="B754" s="1" t="n">
        <v>43424</v>
      </c>
      <c r="C754" s="1" t="n">
        <v>45210</v>
      </c>
      <c r="D754" t="inlineStr">
        <is>
          <t>DALARNAS LÄN</t>
        </is>
      </c>
      <c r="E754" t="inlineStr">
        <is>
          <t>RÄTTVIK</t>
        </is>
      </c>
      <c r="F754" t="inlineStr">
        <is>
          <t>Bergvik skog väst AB</t>
        </is>
      </c>
      <c r="G754" t="n">
        <v>2.7</v>
      </c>
      <c r="H754" t="n">
        <v>0</v>
      </c>
      <c r="I754" t="n">
        <v>0</v>
      </c>
      <c r="J754" t="n">
        <v>0</v>
      </c>
      <c r="K754" t="n">
        <v>0</v>
      </c>
      <c r="L754" t="n">
        <v>0</v>
      </c>
      <c r="M754" t="n">
        <v>0</v>
      </c>
      <c r="N754" t="n">
        <v>0</v>
      </c>
      <c r="O754" t="n">
        <v>0</v>
      </c>
      <c r="P754" t="n">
        <v>0</v>
      </c>
      <c r="Q754" t="n">
        <v>0</v>
      </c>
      <c r="R754" s="2" t="inlineStr"/>
    </row>
    <row r="755" ht="15" customHeight="1">
      <c r="A755" t="inlineStr">
        <is>
          <t>A 65253-2018</t>
        </is>
      </c>
      <c r="B755" s="1" t="n">
        <v>43424</v>
      </c>
      <c r="C755" s="1" t="n">
        <v>45210</v>
      </c>
      <c r="D755" t="inlineStr">
        <is>
          <t>DALARNAS LÄN</t>
        </is>
      </c>
      <c r="E755" t="inlineStr">
        <is>
          <t>MALUNG-SÄLEN</t>
        </is>
      </c>
      <c r="F755" t="inlineStr">
        <is>
          <t>Allmännings- och besparingsskogar</t>
        </is>
      </c>
      <c r="G755" t="n">
        <v>0.8</v>
      </c>
      <c r="H755" t="n">
        <v>0</v>
      </c>
      <c r="I755" t="n">
        <v>0</v>
      </c>
      <c r="J755" t="n">
        <v>0</v>
      </c>
      <c r="K755" t="n">
        <v>0</v>
      </c>
      <c r="L755" t="n">
        <v>0</v>
      </c>
      <c r="M755" t="n">
        <v>0</v>
      </c>
      <c r="N755" t="n">
        <v>0</v>
      </c>
      <c r="O755" t="n">
        <v>0</v>
      </c>
      <c r="P755" t="n">
        <v>0</v>
      </c>
      <c r="Q755" t="n">
        <v>0</v>
      </c>
      <c r="R755" s="2" t="inlineStr"/>
    </row>
    <row r="756" ht="15" customHeight="1">
      <c r="A756" t="inlineStr">
        <is>
          <t>A 65244-2018</t>
        </is>
      </c>
      <c r="B756" s="1" t="n">
        <v>43424</v>
      </c>
      <c r="C756" s="1" t="n">
        <v>45210</v>
      </c>
      <c r="D756" t="inlineStr">
        <is>
          <t>DALARNAS LÄN</t>
        </is>
      </c>
      <c r="E756" t="inlineStr">
        <is>
          <t>MALUNG-SÄLEN</t>
        </is>
      </c>
      <c r="F756" t="inlineStr">
        <is>
          <t>Allmännings- och besparingsskogar</t>
        </is>
      </c>
      <c r="G756" t="n">
        <v>5.1</v>
      </c>
      <c r="H756" t="n">
        <v>0</v>
      </c>
      <c r="I756" t="n">
        <v>0</v>
      </c>
      <c r="J756" t="n">
        <v>0</v>
      </c>
      <c r="K756" t="n">
        <v>0</v>
      </c>
      <c r="L756" t="n">
        <v>0</v>
      </c>
      <c r="M756" t="n">
        <v>0</v>
      </c>
      <c r="N756" t="n">
        <v>0</v>
      </c>
      <c r="O756" t="n">
        <v>0</v>
      </c>
      <c r="P756" t="n">
        <v>0</v>
      </c>
      <c r="Q756" t="n">
        <v>0</v>
      </c>
      <c r="R756" s="2" t="inlineStr"/>
    </row>
    <row r="757" ht="15" customHeight="1">
      <c r="A757" t="inlineStr">
        <is>
          <t>A 61678-2018</t>
        </is>
      </c>
      <c r="B757" s="1" t="n">
        <v>43425</v>
      </c>
      <c r="C757" s="1" t="n">
        <v>45210</v>
      </c>
      <c r="D757" t="inlineStr">
        <is>
          <t>DALARNAS LÄN</t>
        </is>
      </c>
      <c r="E757" t="inlineStr">
        <is>
          <t>MALUNG-SÄLEN</t>
        </is>
      </c>
      <c r="G757" t="n">
        <v>3.2</v>
      </c>
      <c r="H757" t="n">
        <v>0</v>
      </c>
      <c r="I757" t="n">
        <v>0</v>
      </c>
      <c r="J757" t="n">
        <v>0</v>
      </c>
      <c r="K757" t="n">
        <v>0</v>
      </c>
      <c r="L757" t="n">
        <v>0</v>
      </c>
      <c r="M757" t="n">
        <v>0</v>
      </c>
      <c r="N757" t="n">
        <v>0</v>
      </c>
      <c r="O757" t="n">
        <v>0</v>
      </c>
      <c r="P757" t="n">
        <v>0</v>
      </c>
      <c r="Q757" t="n">
        <v>0</v>
      </c>
      <c r="R757" s="2" t="inlineStr"/>
    </row>
    <row r="758" ht="15" customHeight="1">
      <c r="A758" t="inlineStr">
        <is>
          <t>A 65598-2018</t>
        </is>
      </c>
      <c r="B758" s="1" t="n">
        <v>43425</v>
      </c>
      <c r="C758" s="1" t="n">
        <v>45210</v>
      </c>
      <c r="D758" t="inlineStr">
        <is>
          <t>DALARNAS LÄN</t>
        </is>
      </c>
      <c r="E758" t="inlineStr">
        <is>
          <t>ÄLVDALEN</t>
        </is>
      </c>
      <c r="G758" t="n">
        <v>0.8</v>
      </c>
      <c r="H758" t="n">
        <v>0</v>
      </c>
      <c r="I758" t="n">
        <v>0</v>
      </c>
      <c r="J758" t="n">
        <v>0</v>
      </c>
      <c r="K758" t="n">
        <v>0</v>
      </c>
      <c r="L758" t="n">
        <v>0</v>
      </c>
      <c r="M758" t="n">
        <v>0</v>
      </c>
      <c r="N758" t="n">
        <v>0</v>
      </c>
      <c r="O758" t="n">
        <v>0</v>
      </c>
      <c r="P758" t="n">
        <v>0</v>
      </c>
      <c r="Q758" t="n">
        <v>0</v>
      </c>
      <c r="R758" s="2" t="inlineStr"/>
    </row>
    <row r="759" ht="15" customHeight="1">
      <c r="A759" t="inlineStr">
        <is>
          <t>A 61671-2018</t>
        </is>
      </c>
      <c r="B759" s="1" t="n">
        <v>43425</v>
      </c>
      <c r="C759" s="1" t="n">
        <v>45210</v>
      </c>
      <c r="D759" t="inlineStr">
        <is>
          <t>DALARNAS LÄN</t>
        </is>
      </c>
      <c r="E759" t="inlineStr">
        <is>
          <t>LUDVIKA</t>
        </is>
      </c>
      <c r="G759" t="n">
        <v>2.5</v>
      </c>
      <c r="H759" t="n">
        <v>0</v>
      </c>
      <c r="I759" t="n">
        <v>0</v>
      </c>
      <c r="J759" t="n">
        <v>0</v>
      </c>
      <c r="K759" t="n">
        <v>0</v>
      </c>
      <c r="L759" t="n">
        <v>0</v>
      </c>
      <c r="M759" t="n">
        <v>0</v>
      </c>
      <c r="N759" t="n">
        <v>0</v>
      </c>
      <c r="O759" t="n">
        <v>0</v>
      </c>
      <c r="P759" t="n">
        <v>0</v>
      </c>
      <c r="Q759" t="n">
        <v>0</v>
      </c>
      <c r="R759" s="2" t="inlineStr"/>
    </row>
    <row r="760" ht="15" customHeight="1">
      <c r="A760" t="inlineStr">
        <is>
          <t>A 61753-2018</t>
        </is>
      </c>
      <c r="B760" s="1" t="n">
        <v>43425</v>
      </c>
      <c r="C760" s="1" t="n">
        <v>45210</v>
      </c>
      <c r="D760" t="inlineStr">
        <is>
          <t>DALARNAS LÄN</t>
        </is>
      </c>
      <c r="E760" t="inlineStr">
        <is>
          <t>MALUNG-SÄLEN</t>
        </is>
      </c>
      <c r="G760" t="n">
        <v>0.8</v>
      </c>
      <c r="H760" t="n">
        <v>0</v>
      </c>
      <c r="I760" t="n">
        <v>0</v>
      </c>
      <c r="J760" t="n">
        <v>0</v>
      </c>
      <c r="K760" t="n">
        <v>0</v>
      </c>
      <c r="L760" t="n">
        <v>0</v>
      </c>
      <c r="M760" t="n">
        <v>0</v>
      </c>
      <c r="N760" t="n">
        <v>0</v>
      </c>
      <c r="O760" t="n">
        <v>0</v>
      </c>
      <c r="P760" t="n">
        <v>0</v>
      </c>
      <c r="Q760" t="n">
        <v>0</v>
      </c>
      <c r="R760" s="2" t="inlineStr"/>
    </row>
    <row r="761" ht="15" customHeight="1">
      <c r="A761" t="inlineStr">
        <is>
          <t>A 61895-2018</t>
        </is>
      </c>
      <c r="B761" s="1" t="n">
        <v>43425</v>
      </c>
      <c r="C761" s="1" t="n">
        <v>45210</v>
      </c>
      <c r="D761" t="inlineStr">
        <is>
          <t>DALARNAS LÄN</t>
        </is>
      </c>
      <c r="E761" t="inlineStr">
        <is>
          <t>FALUN</t>
        </is>
      </c>
      <c r="G761" t="n">
        <v>0.5</v>
      </c>
      <c r="H761" t="n">
        <v>0</v>
      </c>
      <c r="I761" t="n">
        <v>0</v>
      </c>
      <c r="J761" t="n">
        <v>0</v>
      </c>
      <c r="K761" t="n">
        <v>0</v>
      </c>
      <c r="L761" t="n">
        <v>0</v>
      </c>
      <c r="M761" t="n">
        <v>0</v>
      </c>
      <c r="N761" t="n">
        <v>0</v>
      </c>
      <c r="O761" t="n">
        <v>0</v>
      </c>
      <c r="P761" t="n">
        <v>0</v>
      </c>
      <c r="Q761" t="n">
        <v>0</v>
      </c>
      <c r="R761" s="2" t="inlineStr"/>
    </row>
    <row r="762" ht="15" customHeight="1">
      <c r="A762" t="inlineStr">
        <is>
          <t>A 65585-2018</t>
        </is>
      </c>
      <c r="B762" s="1" t="n">
        <v>43425</v>
      </c>
      <c r="C762" s="1" t="n">
        <v>45210</v>
      </c>
      <c r="D762" t="inlineStr">
        <is>
          <t>DALARNAS LÄN</t>
        </is>
      </c>
      <c r="E762" t="inlineStr">
        <is>
          <t>LEKSAND</t>
        </is>
      </c>
      <c r="G762" t="n">
        <v>1.7</v>
      </c>
      <c r="H762" t="n">
        <v>0</v>
      </c>
      <c r="I762" t="n">
        <v>0</v>
      </c>
      <c r="J762" t="n">
        <v>0</v>
      </c>
      <c r="K762" t="n">
        <v>0</v>
      </c>
      <c r="L762" t="n">
        <v>0</v>
      </c>
      <c r="M762" t="n">
        <v>0</v>
      </c>
      <c r="N762" t="n">
        <v>0</v>
      </c>
      <c r="O762" t="n">
        <v>0</v>
      </c>
      <c r="P762" t="n">
        <v>0</v>
      </c>
      <c r="Q762" t="n">
        <v>0</v>
      </c>
      <c r="R762" s="2" t="inlineStr"/>
    </row>
    <row r="763" ht="15" customHeight="1">
      <c r="A763" t="inlineStr">
        <is>
          <t>A 61777-2018</t>
        </is>
      </c>
      <c r="B763" s="1" t="n">
        <v>43425</v>
      </c>
      <c r="C763" s="1" t="n">
        <v>45210</v>
      </c>
      <c r="D763" t="inlineStr">
        <is>
          <t>DALARNAS LÄN</t>
        </is>
      </c>
      <c r="E763" t="inlineStr">
        <is>
          <t>MALUNG-SÄLEN</t>
        </is>
      </c>
      <c r="G763" t="n">
        <v>7.1</v>
      </c>
      <c r="H763" t="n">
        <v>0</v>
      </c>
      <c r="I763" t="n">
        <v>0</v>
      </c>
      <c r="J763" t="n">
        <v>0</v>
      </c>
      <c r="K763" t="n">
        <v>0</v>
      </c>
      <c r="L763" t="n">
        <v>0</v>
      </c>
      <c r="M763" t="n">
        <v>0</v>
      </c>
      <c r="N763" t="n">
        <v>0</v>
      </c>
      <c r="O763" t="n">
        <v>0</v>
      </c>
      <c r="P763" t="n">
        <v>0</v>
      </c>
      <c r="Q763" t="n">
        <v>0</v>
      </c>
      <c r="R763" s="2" t="inlineStr"/>
    </row>
    <row r="764" ht="15" customHeight="1">
      <c r="A764" t="inlineStr">
        <is>
          <t>A 65603-2018</t>
        </is>
      </c>
      <c r="B764" s="1" t="n">
        <v>43425</v>
      </c>
      <c r="C764" s="1" t="n">
        <v>45210</v>
      </c>
      <c r="D764" t="inlineStr">
        <is>
          <t>DALARNAS LÄN</t>
        </is>
      </c>
      <c r="E764" t="inlineStr">
        <is>
          <t>ÄLVDALEN</t>
        </is>
      </c>
      <c r="G764" t="n">
        <v>1.5</v>
      </c>
      <c r="H764" t="n">
        <v>0</v>
      </c>
      <c r="I764" t="n">
        <v>0</v>
      </c>
      <c r="J764" t="n">
        <v>0</v>
      </c>
      <c r="K764" t="n">
        <v>0</v>
      </c>
      <c r="L764" t="n">
        <v>0</v>
      </c>
      <c r="M764" t="n">
        <v>0</v>
      </c>
      <c r="N764" t="n">
        <v>0</v>
      </c>
      <c r="O764" t="n">
        <v>0</v>
      </c>
      <c r="P764" t="n">
        <v>0</v>
      </c>
      <c r="Q764" t="n">
        <v>0</v>
      </c>
      <c r="R764" s="2" t="inlineStr"/>
    </row>
    <row r="765" ht="15" customHeight="1">
      <c r="A765" t="inlineStr">
        <is>
          <t>A 61853-2018</t>
        </is>
      </c>
      <c r="B765" s="1" t="n">
        <v>43425</v>
      </c>
      <c r="C765" s="1" t="n">
        <v>45210</v>
      </c>
      <c r="D765" t="inlineStr">
        <is>
          <t>DALARNAS LÄN</t>
        </is>
      </c>
      <c r="E765" t="inlineStr">
        <is>
          <t>ÄLVDALEN</t>
        </is>
      </c>
      <c r="G765" t="n">
        <v>7.5</v>
      </c>
      <c r="H765" t="n">
        <v>0</v>
      </c>
      <c r="I765" t="n">
        <v>0</v>
      </c>
      <c r="J765" t="n">
        <v>0</v>
      </c>
      <c r="K765" t="n">
        <v>0</v>
      </c>
      <c r="L765" t="n">
        <v>0</v>
      </c>
      <c r="M765" t="n">
        <v>0</v>
      </c>
      <c r="N765" t="n">
        <v>0</v>
      </c>
      <c r="O765" t="n">
        <v>0</v>
      </c>
      <c r="P765" t="n">
        <v>0</v>
      </c>
      <c r="Q765" t="n">
        <v>0</v>
      </c>
      <c r="R765" s="2" t="inlineStr"/>
    </row>
    <row r="766" ht="15" customHeight="1">
      <c r="A766" t="inlineStr">
        <is>
          <t>A 65461-2018</t>
        </is>
      </c>
      <c r="B766" s="1" t="n">
        <v>43425</v>
      </c>
      <c r="C766" s="1" t="n">
        <v>45210</v>
      </c>
      <c r="D766" t="inlineStr">
        <is>
          <t>DALARNAS LÄN</t>
        </is>
      </c>
      <c r="E766" t="inlineStr">
        <is>
          <t>RÄTTVIK</t>
        </is>
      </c>
      <c r="G766" t="n">
        <v>3.6</v>
      </c>
      <c r="H766" t="n">
        <v>0</v>
      </c>
      <c r="I766" t="n">
        <v>0</v>
      </c>
      <c r="J766" t="n">
        <v>0</v>
      </c>
      <c r="K766" t="n">
        <v>0</v>
      </c>
      <c r="L766" t="n">
        <v>0</v>
      </c>
      <c r="M766" t="n">
        <v>0</v>
      </c>
      <c r="N766" t="n">
        <v>0</v>
      </c>
      <c r="O766" t="n">
        <v>0</v>
      </c>
      <c r="P766" t="n">
        <v>0</v>
      </c>
      <c r="Q766" t="n">
        <v>0</v>
      </c>
      <c r="R766" s="2" t="inlineStr"/>
    </row>
    <row r="767" ht="15" customHeight="1">
      <c r="A767" t="inlineStr">
        <is>
          <t>A 62581-2018</t>
        </is>
      </c>
      <c r="B767" s="1" t="n">
        <v>43426</v>
      </c>
      <c r="C767" s="1" t="n">
        <v>45210</v>
      </c>
      <c r="D767" t="inlineStr">
        <is>
          <t>DALARNAS LÄN</t>
        </is>
      </c>
      <c r="E767" t="inlineStr">
        <is>
          <t>ÄLVDALEN</t>
        </is>
      </c>
      <c r="G767" t="n">
        <v>3.6</v>
      </c>
      <c r="H767" t="n">
        <v>0</v>
      </c>
      <c r="I767" t="n">
        <v>0</v>
      </c>
      <c r="J767" t="n">
        <v>0</v>
      </c>
      <c r="K767" t="n">
        <v>0</v>
      </c>
      <c r="L767" t="n">
        <v>0</v>
      </c>
      <c r="M767" t="n">
        <v>0</v>
      </c>
      <c r="N767" t="n">
        <v>0</v>
      </c>
      <c r="O767" t="n">
        <v>0</v>
      </c>
      <c r="P767" t="n">
        <v>0</v>
      </c>
      <c r="Q767" t="n">
        <v>0</v>
      </c>
      <c r="R767" s="2" t="inlineStr"/>
    </row>
    <row r="768" ht="15" customHeight="1">
      <c r="A768" t="inlineStr">
        <is>
          <t>A 62591-2018</t>
        </is>
      </c>
      <c r="B768" s="1" t="n">
        <v>43426</v>
      </c>
      <c r="C768" s="1" t="n">
        <v>45210</v>
      </c>
      <c r="D768" t="inlineStr">
        <is>
          <t>DALARNAS LÄN</t>
        </is>
      </c>
      <c r="E768" t="inlineStr">
        <is>
          <t>MALUNG-SÄLEN</t>
        </is>
      </c>
      <c r="F768" t="inlineStr">
        <is>
          <t>Bergvik skog väst AB</t>
        </is>
      </c>
      <c r="G768" t="n">
        <v>13.9</v>
      </c>
      <c r="H768" t="n">
        <v>0</v>
      </c>
      <c r="I768" t="n">
        <v>0</v>
      </c>
      <c r="J768" t="n">
        <v>0</v>
      </c>
      <c r="K768" t="n">
        <v>0</v>
      </c>
      <c r="L768" t="n">
        <v>0</v>
      </c>
      <c r="M768" t="n">
        <v>0</v>
      </c>
      <c r="N768" t="n">
        <v>0</v>
      </c>
      <c r="O768" t="n">
        <v>0</v>
      </c>
      <c r="P768" t="n">
        <v>0</v>
      </c>
      <c r="Q768" t="n">
        <v>0</v>
      </c>
      <c r="R768" s="2" t="inlineStr"/>
    </row>
    <row r="769" ht="15" customHeight="1">
      <c r="A769" t="inlineStr">
        <is>
          <t>A 62907-2018</t>
        </is>
      </c>
      <c r="B769" s="1" t="n">
        <v>43426</v>
      </c>
      <c r="C769" s="1" t="n">
        <v>45210</v>
      </c>
      <c r="D769" t="inlineStr">
        <is>
          <t>DALARNAS LÄN</t>
        </is>
      </c>
      <c r="E769" t="inlineStr">
        <is>
          <t>LEKSAND</t>
        </is>
      </c>
      <c r="G769" t="n">
        <v>0.5</v>
      </c>
      <c r="H769" t="n">
        <v>0</v>
      </c>
      <c r="I769" t="n">
        <v>0</v>
      </c>
      <c r="J769" t="n">
        <v>0</v>
      </c>
      <c r="K769" t="n">
        <v>0</v>
      </c>
      <c r="L769" t="n">
        <v>0</v>
      </c>
      <c r="M769" t="n">
        <v>0</v>
      </c>
      <c r="N769" t="n">
        <v>0</v>
      </c>
      <c r="O769" t="n">
        <v>0</v>
      </c>
      <c r="P769" t="n">
        <v>0</v>
      </c>
      <c r="Q769" t="n">
        <v>0</v>
      </c>
      <c r="R769" s="2" t="inlineStr"/>
    </row>
    <row r="770" ht="15" customHeight="1">
      <c r="A770" t="inlineStr">
        <is>
          <t>A 66263-2018</t>
        </is>
      </c>
      <c r="B770" s="1" t="n">
        <v>43427</v>
      </c>
      <c r="C770" s="1" t="n">
        <v>45210</v>
      </c>
      <c r="D770" t="inlineStr">
        <is>
          <t>DALARNAS LÄN</t>
        </is>
      </c>
      <c r="E770" t="inlineStr">
        <is>
          <t>MALUNG-SÄLEN</t>
        </is>
      </c>
      <c r="F770" t="inlineStr">
        <is>
          <t>Allmännings- och besparingsskogar</t>
        </is>
      </c>
      <c r="G770" t="n">
        <v>7.5</v>
      </c>
      <c r="H770" t="n">
        <v>0</v>
      </c>
      <c r="I770" t="n">
        <v>0</v>
      </c>
      <c r="J770" t="n">
        <v>0</v>
      </c>
      <c r="K770" t="n">
        <v>0</v>
      </c>
      <c r="L770" t="n">
        <v>0</v>
      </c>
      <c r="M770" t="n">
        <v>0</v>
      </c>
      <c r="N770" t="n">
        <v>0</v>
      </c>
      <c r="O770" t="n">
        <v>0</v>
      </c>
      <c r="P770" t="n">
        <v>0</v>
      </c>
      <c r="Q770" t="n">
        <v>0</v>
      </c>
      <c r="R770" s="2" t="inlineStr"/>
    </row>
    <row r="771" ht="15" customHeight="1">
      <c r="A771" t="inlineStr">
        <is>
          <t>A 63360-2018</t>
        </is>
      </c>
      <c r="B771" s="1" t="n">
        <v>43427</v>
      </c>
      <c r="C771" s="1" t="n">
        <v>45210</v>
      </c>
      <c r="D771" t="inlineStr">
        <is>
          <t>DALARNAS LÄN</t>
        </is>
      </c>
      <c r="E771" t="inlineStr">
        <is>
          <t>RÄTTVIK</t>
        </is>
      </c>
      <c r="F771" t="inlineStr">
        <is>
          <t>Kyrkan</t>
        </is>
      </c>
      <c r="G771" t="n">
        <v>1.8</v>
      </c>
      <c r="H771" t="n">
        <v>0</v>
      </c>
      <c r="I771" t="n">
        <v>0</v>
      </c>
      <c r="J771" t="n">
        <v>0</v>
      </c>
      <c r="K771" t="n">
        <v>0</v>
      </c>
      <c r="L771" t="n">
        <v>0</v>
      </c>
      <c r="M771" t="n">
        <v>0</v>
      </c>
      <c r="N771" t="n">
        <v>0</v>
      </c>
      <c r="O771" t="n">
        <v>0</v>
      </c>
      <c r="P771" t="n">
        <v>0</v>
      </c>
      <c r="Q771" t="n">
        <v>0</v>
      </c>
      <c r="R771" s="2" t="inlineStr"/>
    </row>
    <row r="772" ht="15" customHeight="1">
      <c r="A772" t="inlineStr">
        <is>
          <t>A 63488-2018</t>
        </is>
      </c>
      <c r="B772" s="1" t="n">
        <v>43427</v>
      </c>
      <c r="C772" s="1" t="n">
        <v>45210</v>
      </c>
      <c r="D772" t="inlineStr">
        <is>
          <t>DALARNAS LÄN</t>
        </is>
      </c>
      <c r="E772" t="inlineStr">
        <is>
          <t>LUDVIKA</t>
        </is>
      </c>
      <c r="F772" t="inlineStr">
        <is>
          <t>Bergvik skog väst AB</t>
        </is>
      </c>
      <c r="G772" t="n">
        <v>0.6</v>
      </c>
      <c r="H772" t="n">
        <v>0</v>
      </c>
      <c r="I772" t="n">
        <v>0</v>
      </c>
      <c r="J772" t="n">
        <v>0</v>
      </c>
      <c r="K772" t="n">
        <v>0</v>
      </c>
      <c r="L772" t="n">
        <v>0</v>
      </c>
      <c r="M772" t="n">
        <v>0</v>
      </c>
      <c r="N772" t="n">
        <v>0</v>
      </c>
      <c r="O772" t="n">
        <v>0</v>
      </c>
      <c r="P772" t="n">
        <v>0</v>
      </c>
      <c r="Q772" t="n">
        <v>0</v>
      </c>
      <c r="R772" s="2" t="inlineStr"/>
    </row>
    <row r="773" ht="15" customHeight="1">
      <c r="A773" t="inlineStr">
        <is>
          <t>A 66269-2018</t>
        </is>
      </c>
      <c r="B773" s="1" t="n">
        <v>43427</v>
      </c>
      <c r="C773" s="1" t="n">
        <v>45210</v>
      </c>
      <c r="D773" t="inlineStr">
        <is>
          <t>DALARNAS LÄN</t>
        </is>
      </c>
      <c r="E773" t="inlineStr">
        <is>
          <t>MALUNG-SÄLEN</t>
        </is>
      </c>
      <c r="F773" t="inlineStr">
        <is>
          <t>Allmännings- och besparingsskogar</t>
        </is>
      </c>
      <c r="G773" t="n">
        <v>8.1</v>
      </c>
      <c r="H773" t="n">
        <v>0</v>
      </c>
      <c r="I773" t="n">
        <v>0</v>
      </c>
      <c r="J773" t="n">
        <v>0</v>
      </c>
      <c r="K773" t="n">
        <v>0</v>
      </c>
      <c r="L773" t="n">
        <v>0</v>
      </c>
      <c r="M773" t="n">
        <v>0</v>
      </c>
      <c r="N773" t="n">
        <v>0</v>
      </c>
      <c r="O773" t="n">
        <v>0</v>
      </c>
      <c r="P773" t="n">
        <v>0</v>
      </c>
      <c r="Q773" t="n">
        <v>0</v>
      </c>
      <c r="R773" s="2" t="inlineStr"/>
    </row>
    <row r="774" ht="15" customHeight="1">
      <c r="A774" t="inlineStr">
        <is>
          <t>A 63328-2018</t>
        </is>
      </c>
      <c r="B774" s="1" t="n">
        <v>43427</v>
      </c>
      <c r="C774" s="1" t="n">
        <v>45210</v>
      </c>
      <c r="D774" t="inlineStr">
        <is>
          <t>DALARNAS LÄN</t>
        </is>
      </c>
      <c r="E774" t="inlineStr">
        <is>
          <t>ÄLVDALEN</t>
        </is>
      </c>
      <c r="F774" t="inlineStr">
        <is>
          <t>Allmännings- och besparingsskogar</t>
        </is>
      </c>
      <c r="G774" t="n">
        <v>69.2</v>
      </c>
      <c r="H774" t="n">
        <v>0</v>
      </c>
      <c r="I774" t="n">
        <v>0</v>
      </c>
      <c r="J774" t="n">
        <v>0</v>
      </c>
      <c r="K774" t="n">
        <v>0</v>
      </c>
      <c r="L774" t="n">
        <v>0</v>
      </c>
      <c r="M774" t="n">
        <v>0</v>
      </c>
      <c r="N774" t="n">
        <v>0</v>
      </c>
      <c r="O774" t="n">
        <v>0</v>
      </c>
      <c r="P774" t="n">
        <v>0</v>
      </c>
      <c r="Q774" t="n">
        <v>0</v>
      </c>
      <c r="R774" s="2" t="inlineStr"/>
    </row>
    <row r="775" ht="15" customHeight="1">
      <c r="A775" t="inlineStr">
        <is>
          <t>A 63676-2018</t>
        </is>
      </c>
      <c r="B775" s="1" t="n">
        <v>43427</v>
      </c>
      <c r="C775" s="1" t="n">
        <v>45210</v>
      </c>
      <c r="D775" t="inlineStr">
        <is>
          <t>DALARNAS LÄN</t>
        </is>
      </c>
      <c r="E775" t="inlineStr">
        <is>
          <t>ÄLVDALEN</t>
        </is>
      </c>
      <c r="F775" t="inlineStr">
        <is>
          <t>Övriga statliga verk och myndigheter</t>
        </is>
      </c>
      <c r="G775" t="n">
        <v>6.3</v>
      </c>
      <c r="H775" t="n">
        <v>0</v>
      </c>
      <c r="I775" t="n">
        <v>0</v>
      </c>
      <c r="J775" t="n">
        <v>0</v>
      </c>
      <c r="K775" t="n">
        <v>0</v>
      </c>
      <c r="L775" t="n">
        <v>0</v>
      </c>
      <c r="M775" t="n">
        <v>0</v>
      </c>
      <c r="N775" t="n">
        <v>0</v>
      </c>
      <c r="O775" t="n">
        <v>0</v>
      </c>
      <c r="P775" t="n">
        <v>0</v>
      </c>
      <c r="Q775" t="n">
        <v>0</v>
      </c>
      <c r="R775" s="2" t="inlineStr"/>
    </row>
    <row r="776" ht="15" customHeight="1">
      <c r="A776" t="inlineStr">
        <is>
          <t>A 63722-2018</t>
        </is>
      </c>
      <c r="B776" s="1" t="n">
        <v>43428</v>
      </c>
      <c r="C776" s="1" t="n">
        <v>45210</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63723-2018</t>
        </is>
      </c>
      <c r="B777" s="1" t="n">
        <v>43428</v>
      </c>
      <c r="C777" s="1" t="n">
        <v>45210</v>
      </c>
      <c r="D777" t="inlineStr">
        <is>
          <t>DALARNAS LÄN</t>
        </is>
      </c>
      <c r="E777" t="inlineStr">
        <is>
          <t>RÄTTVIK</t>
        </is>
      </c>
      <c r="G777" t="n">
        <v>7.8</v>
      </c>
      <c r="H777" t="n">
        <v>0</v>
      </c>
      <c r="I777" t="n">
        <v>0</v>
      </c>
      <c r="J777" t="n">
        <v>0</v>
      </c>
      <c r="K777" t="n">
        <v>0</v>
      </c>
      <c r="L777" t="n">
        <v>0</v>
      </c>
      <c r="M777" t="n">
        <v>0</v>
      </c>
      <c r="N777" t="n">
        <v>0</v>
      </c>
      <c r="O777" t="n">
        <v>0</v>
      </c>
      <c r="P777" t="n">
        <v>0</v>
      </c>
      <c r="Q777" t="n">
        <v>0</v>
      </c>
      <c r="R777" s="2" t="inlineStr"/>
    </row>
    <row r="778" ht="15" customHeight="1">
      <c r="A778" t="inlineStr">
        <is>
          <t>A 66339-2018</t>
        </is>
      </c>
      <c r="B778" s="1" t="n">
        <v>43428</v>
      </c>
      <c r="C778" s="1" t="n">
        <v>45210</v>
      </c>
      <c r="D778" t="inlineStr">
        <is>
          <t>DALARNAS LÄN</t>
        </is>
      </c>
      <c r="E778" t="inlineStr">
        <is>
          <t>FALUN</t>
        </is>
      </c>
      <c r="G778" t="n">
        <v>2.5</v>
      </c>
      <c r="H778" t="n">
        <v>0</v>
      </c>
      <c r="I778" t="n">
        <v>0</v>
      </c>
      <c r="J778" t="n">
        <v>0</v>
      </c>
      <c r="K778" t="n">
        <v>0</v>
      </c>
      <c r="L778" t="n">
        <v>0</v>
      </c>
      <c r="M778" t="n">
        <v>0</v>
      </c>
      <c r="N778" t="n">
        <v>0</v>
      </c>
      <c r="O778" t="n">
        <v>0</v>
      </c>
      <c r="P778" t="n">
        <v>0</v>
      </c>
      <c r="Q778" t="n">
        <v>0</v>
      </c>
      <c r="R778" s="2" t="inlineStr"/>
      <c r="U778">
        <f>HYPERLINK("https://klasma.github.io/Logging_2080/knärot/A 66339-2018.png", "A 66339-2018")</f>
        <v/>
      </c>
      <c r="V778">
        <f>HYPERLINK("https://klasma.github.io/Logging_2080/klagomål/A 66339-2018.docx", "A 66339-2018")</f>
        <v/>
      </c>
      <c r="W778">
        <f>HYPERLINK("https://klasma.github.io/Logging_2080/klagomålsmail/A 66339-2018.docx", "A 66339-2018")</f>
        <v/>
      </c>
      <c r="X778">
        <f>HYPERLINK("https://klasma.github.io/Logging_2080/tillsyn/A 66339-2018.docx", "A 66339-2018")</f>
        <v/>
      </c>
      <c r="Y778">
        <f>HYPERLINK("https://klasma.github.io/Logging_2080/tillsynsmail/A 66339-2018.docx", "A 66339-2018")</f>
        <v/>
      </c>
    </row>
    <row r="779" ht="15" customHeight="1">
      <c r="A779" t="inlineStr">
        <is>
          <t>A 63779-2018</t>
        </is>
      </c>
      <c r="B779" s="1" t="n">
        <v>43429</v>
      </c>
      <c r="C779" s="1" t="n">
        <v>45210</v>
      </c>
      <c r="D779" t="inlineStr">
        <is>
          <t>DALARNAS LÄN</t>
        </is>
      </c>
      <c r="E779" t="inlineStr">
        <is>
          <t>SÄTER</t>
        </is>
      </c>
      <c r="G779" t="n">
        <v>0.8</v>
      </c>
      <c r="H779" t="n">
        <v>0</v>
      </c>
      <c r="I779" t="n">
        <v>0</v>
      </c>
      <c r="J779" t="n">
        <v>0</v>
      </c>
      <c r="K779" t="n">
        <v>0</v>
      </c>
      <c r="L779" t="n">
        <v>0</v>
      </c>
      <c r="M779" t="n">
        <v>0</v>
      </c>
      <c r="N779" t="n">
        <v>0</v>
      </c>
      <c r="O779" t="n">
        <v>0</v>
      </c>
      <c r="P779" t="n">
        <v>0</v>
      </c>
      <c r="Q779" t="n">
        <v>0</v>
      </c>
      <c r="R779" s="2" t="inlineStr"/>
    </row>
    <row r="780" ht="15" customHeight="1">
      <c r="A780" t="inlineStr">
        <is>
          <t>A 64015-2018</t>
        </is>
      </c>
      <c r="B780" s="1" t="n">
        <v>43430</v>
      </c>
      <c r="C780" s="1" t="n">
        <v>45210</v>
      </c>
      <c r="D780" t="inlineStr">
        <is>
          <t>DALARNAS LÄN</t>
        </is>
      </c>
      <c r="E780" t="inlineStr">
        <is>
          <t>RÄTTVIK</t>
        </is>
      </c>
      <c r="G780" t="n">
        <v>0.8</v>
      </c>
      <c r="H780" t="n">
        <v>0</v>
      </c>
      <c r="I780" t="n">
        <v>0</v>
      </c>
      <c r="J780" t="n">
        <v>0</v>
      </c>
      <c r="K780" t="n">
        <v>0</v>
      </c>
      <c r="L780" t="n">
        <v>0</v>
      </c>
      <c r="M780" t="n">
        <v>0</v>
      </c>
      <c r="N780" t="n">
        <v>0</v>
      </c>
      <c r="O780" t="n">
        <v>0</v>
      </c>
      <c r="P780" t="n">
        <v>0</v>
      </c>
      <c r="Q780" t="n">
        <v>0</v>
      </c>
      <c r="R780" s="2" t="inlineStr"/>
    </row>
    <row r="781" ht="15" customHeight="1">
      <c r="A781" t="inlineStr">
        <is>
          <t>A 66633-2018</t>
        </is>
      </c>
      <c r="B781" s="1" t="n">
        <v>43430</v>
      </c>
      <c r="C781" s="1" t="n">
        <v>45210</v>
      </c>
      <c r="D781" t="inlineStr">
        <is>
          <t>DALARNAS LÄN</t>
        </is>
      </c>
      <c r="E781" t="inlineStr">
        <is>
          <t>GAGNEF</t>
        </is>
      </c>
      <c r="G781" t="n">
        <v>4.3</v>
      </c>
      <c r="H781" t="n">
        <v>0</v>
      </c>
      <c r="I781" t="n">
        <v>0</v>
      </c>
      <c r="J781" t="n">
        <v>0</v>
      </c>
      <c r="K781" t="n">
        <v>0</v>
      </c>
      <c r="L781" t="n">
        <v>0</v>
      </c>
      <c r="M781" t="n">
        <v>0</v>
      </c>
      <c r="N781" t="n">
        <v>0</v>
      </c>
      <c r="O781" t="n">
        <v>0</v>
      </c>
      <c r="P781" t="n">
        <v>0</v>
      </c>
      <c r="Q781" t="n">
        <v>0</v>
      </c>
      <c r="R781" s="2" t="inlineStr"/>
    </row>
    <row r="782" ht="15" customHeight="1">
      <c r="A782" t="inlineStr">
        <is>
          <t>A 66412-2018</t>
        </is>
      </c>
      <c r="B782" s="1" t="n">
        <v>43430</v>
      </c>
      <c r="C782" s="1" t="n">
        <v>45210</v>
      </c>
      <c r="D782" t="inlineStr">
        <is>
          <t>DALARNAS LÄN</t>
        </is>
      </c>
      <c r="E782" t="inlineStr">
        <is>
          <t>RÄTTVIK</t>
        </is>
      </c>
      <c r="G782" t="n">
        <v>1.7</v>
      </c>
      <c r="H782" t="n">
        <v>0</v>
      </c>
      <c r="I782" t="n">
        <v>0</v>
      </c>
      <c r="J782" t="n">
        <v>0</v>
      </c>
      <c r="K782" t="n">
        <v>0</v>
      </c>
      <c r="L782" t="n">
        <v>0</v>
      </c>
      <c r="M782" t="n">
        <v>0</v>
      </c>
      <c r="N782" t="n">
        <v>0</v>
      </c>
      <c r="O782" t="n">
        <v>0</v>
      </c>
      <c r="P782" t="n">
        <v>0</v>
      </c>
      <c r="Q782" t="n">
        <v>0</v>
      </c>
      <c r="R782" s="2" t="inlineStr"/>
    </row>
    <row r="783" ht="15" customHeight="1">
      <c r="A783" t="inlineStr">
        <is>
          <t>A 66654-2018</t>
        </is>
      </c>
      <c r="B783" s="1" t="n">
        <v>43430</v>
      </c>
      <c r="C783" s="1" t="n">
        <v>45210</v>
      </c>
      <c r="D783" t="inlineStr">
        <is>
          <t>DALARNAS LÄN</t>
        </is>
      </c>
      <c r="E783" t="inlineStr">
        <is>
          <t>RÄTTVIK</t>
        </is>
      </c>
      <c r="G783" t="n">
        <v>1.1</v>
      </c>
      <c r="H783" t="n">
        <v>0</v>
      </c>
      <c r="I783" t="n">
        <v>0</v>
      </c>
      <c r="J783" t="n">
        <v>0</v>
      </c>
      <c r="K783" t="n">
        <v>0</v>
      </c>
      <c r="L783" t="n">
        <v>0</v>
      </c>
      <c r="M783" t="n">
        <v>0</v>
      </c>
      <c r="N783" t="n">
        <v>0</v>
      </c>
      <c r="O783" t="n">
        <v>0</v>
      </c>
      <c r="P783" t="n">
        <v>0</v>
      </c>
      <c r="Q783" t="n">
        <v>0</v>
      </c>
      <c r="R783" s="2" t="inlineStr"/>
    </row>
    <row r="784" ht="15" customHeight="1">
      <c r="A784" t="inlineStr">
        <is>
          <t>A 63978-2018</t>
        </is>
      </c>
      <c r="B784" s="1" t="n">
        <v>43430</v>
      </c>
      <c r="C784" s="1" t="n">
        <v>45210</v>
      </c>
      <c r="D784" t="inlineStr">
        <is>
          <t>DALARNAS LÄN</t>
        </is>
      </c>
      <c r="E784" t="inlineStr">
        <is>
          <t>GAGNEF</t>
        </is>
      </c>
      <c r="F784" t="inlineStr">
        <is>
          <t>Bergvik skog väst AB</t>
        </is>
      </c>
      <c r="G784" t="n">
        <v>17.6</v>
      </c>
      <c r="H784" t="n">
        <v>0</v>
      </c>
      <c r="I784" t="n">
        <v>0</v>
      </c>
      <c r="J784" t="n">
        <v>0</v>
      </c>
      <c r="K784" t="n">
        <v>0</v>
      </c>
      <c r="L784" t="n">
        <v>0</v>
      </c>
      <c r="M784" t="n">
        <v>0</v>
      </c>
      <c r="N784" t="n">
        <v>0</v>
      </c>
      <c r="O784" t="n">
        <v>0</v>
      </c>
      <c r="P784" t="n">
        <v>0</v>
      </c>
      <c r="Q784" t="n">
        <v>0</v>
      </c>
      <c r="R784" s="2" t="inlineStr"/>
    </row>
    <row r="785" ht="15" customHeight="1">
      <c r="A785" t="inlineStr">
        <is>
          <t>A 66617-2018</t>
        </is>
      </c>
      <c r="B785" s="1" t="n">
        <v>43430</v>
      </c>
      <c r="C785" s="1" t="n">
        <v>45210</v>
      </c>
      <c r="D785" t="inlineStr">
        <is>
          <t>DALARNAS LÄN</t>
        </is>
      </c>
      <c r="E785" t="inlineStr">
        <is>
          <t>GAGNEF</t>
        </is>
      </c>
      <c r="G785" t="n">
        <v>1.2</v>
      </c>
      <c r="H785" t="n">
        <v>0</v>
      </c>
      <c r="I785" t="n">
        <v>0</v>
      </c>
      <c r="J785" t="n">
        <v>0</v>
      </c>
      <c r="K785" t="n">
        <v>0</v>
      </c>
      <c r="L785" t="n">
        <v>0</v>
      </c>
      <c r="M785" t="n">
        <v>0</v>
      </c>
      <c r="N785" t="n">
        <v>0</v>
      </c>
      <c r="O785" t="n">
        <v>0</v>
      </c>
      <c r="P785" t="n">
        <v>0</v>
      </c>
      <c r="Q785" t="n">
        <v>0</v>
      </c>
      <c r="R785" s="2" t="inlineStr"/>
    </row>
    <row r="786" ht="15" customHeight="1">
      <c r="A786" t="inlineStr">
        <is>
          <t>A 64321-2018</t>
        </is>
      </c>
      <c r="B786" s="1" t="n">
        <v>43430</v>
      </c>
      <c r="C786" s="1" t="n">
        <v>45210</v>
      </c>
      <c r="D786" t="inlineStr">
        <is>
          <t>DALARNAS LÄN</t>
        </is>
      </c>
      <c r="E786" t="inlineStr">
        <is>
          <t>MORA</t>
        </is>
      </c>
      <c r="G786" t="n">
        <v>2</v>
      </c>
      <c r="H786" t="n">
        <v>0</v>
      </c>
      <c r="I786" t="n">
        <v>0</v>
      </c>
      <c r="J786" t="n">
        <v>0</v>
      </c>
      <c r="K786" t="n">
        <v>0</v>
      </c>
      <c r="L786" t="n">
        <v>0</v>
      </c>
      <c r="M786" t="n">
        <v>0</v>
      </c>
      <c r="N786" t="n">
        <v>0</v>
      </c>
      <c r="O786" t="n">
        <v>0</v>
      </c>
      <c r="P786" t="n">
        <v>0</v>
      </c>
      <c r="Q786" t="n">
        <v>0</v>
      </c>
      <c r="R786" s="2" t="inlineStr"/>
    </row>
    <row r="787" ht="15" customHeight="1">
      <c r="A787" t="inlineStr">
        <is>
          <t>A 64559-2018</t>
        </is>
      </c>
      <c r="B787" s="1" t="n">
        <v>43431</v>
      </c>
      <c r="C787" s="1" t="n">
        <v>45210</v>
      </c>
      <c r="D787" t="inlineStr">
        <is>
          <t>DALARNAS LÄN</t>
        </is>
      </c>
      <c r="E787" t="inlineStr">
        <is>
          <t>MALUNG-SÄLEN</t>
        </is>
      </c>
      <c r="G787" t="n">
        <v>5.7</v>
      </c>
      <c r="H787" t="n">
        <v>0</v>
      </c>
      <c r="I787" t="n">
        <v>0</v>
      </c>
      <c r="J787" t="n">
        <v>0</v>
      </c>
      <c r="K787" t="n">
        <v>0</v>
      </c>
      <c r="L787" t="n">
        <v>0</v>
      </c>
      <c r="M787" t="n">
        <v>0</v>
      </c>
      <c r="N787" t="n">
        <v>0</v>
      </c>
      <c r="O787" t="n">
        <v>0</v>
      </c>
      <c r="P787" t="n">
        <v>0</v>
      </c>
      <c r="Q787" t="n">
        <v>0</v>
      </c>
      <c r="R787" s="2" t="inlineStr"/>
    </row>
    <row r="788" ht="15" customHeight="1">
      <c r="A788" t="inlineStr">
        <is>
          <t>A 64605-2018</t>
        </is>
      </c>
      <c r="B788" s="1" t="n">
        <v>43431</v>
      </c>
      <c r="C788" s="1" t="n">
        <v>45210</v>
      </c>
      <c r="D788" t="inlineStr">
        <is>
          <t>DALARNAS LÄN</t>
        </is>
      </c>
      <c r="E788" t="inlineStr">
        <is>
          <t>RÄTTVIK</t>
        </is>
      </c>
      <c r="F788" t="inlineStr">
        <is>
          <t>Sveaskog</t>
        </is>
      </c>
      <c r="G788" t="n">
        <v>25.6</v>
      </c>
      <c r="H788" t="n">
        <v>0</v>
      </c>
      <c r="I788" t="n">
        <v>0</v>
      </c>
      <c r="J788" t="n">
        <v>0</v>
      </c>
      <c r="K788" t="n">
        <v>0</v>
      </c>
      <c r="L788" t="n">
        <v>0</v>
      </c>
      <c r="M788" t="n">
        <v>0</v>
      </c>
      <c r="N788" t="n">
        <v>0</v>
      </c>
      <c r="O788" t="n">
        <v>0</v>
      </c>
      <c r="P788" t="n">
        <v>0</v>
      </c>
      <c r="Q788" t="n">
        <v>0</v>
      </c>
      <c r="R788" s="2" t="inlineStr"/>
    </row>
    <row r="789" ht="15" customHeight="1">
      <c r="A789" t="inlineStr">
        <is>
          <t>A 64778-2018</t>
        </is>
      </c>
      <c r="B789" s="1" t="n">
        <v>43431</v>
      </c>
      <c r="C789" s="1" t="n">
        <v>45210</v>
      </c>
      <c r="D789" t="inlineStr">
        <is>
          <t>DALARNAS LÄN</t>
        </is>
      </c>
      <c r="E789" t="inlineStr">
        <is>
          <t>MALUNG-SÄLEN</t>
        </is>
      </c>
      <c r="F789" t="inlineStr">
        <is>
          <t>Övriga statliga verk och myndigheter</t>
        </is>
      </c>
      <c r="G789" t="n">
        <v>4.3</v>
      </c>
      <c r="H789" t="n">
        <v>0</v>
      </c>
      <c r="I789" t="n">
        <v>0</v>
      </c>
      <c r="J789" t="n">
        <v>0</v>
      </c>
      <c r="K789" t="n">
        <v>0</v>
      </c>
      <c r="L789" t="n">
        <v>0</v>
      </c>
      <c r="M789" t="n">
        <v>0</v>
      </c>
      <c r="N789" t="n">
        <v>0</v>
      </c>
      <c r="O789" t="n">
        <v>0</v>
      </c>
      <c r="P789" t="n">
        <v>0</v>
      </c>
      <c r="Q789" t="n">
        <v>0</v>
      </c>
      <c r="R789" s="2" t="inlineStr"/>
    </row>
    <row r="790" ht="15" customHeight="1">
      <c r="A790" t="inlineStr">
        <is>
          <t>A 64878-2018</t>
        </is>
      </c>
      <c r="B790" s="1" t="n">
        <v>43431</v>
      </c>
      <c r="C790" s="1" t="n">
        <v>45210</v>
      </c>
      <c r="D790" t="inlineStr">
        <is>
          <t>DALARNAS LÄN</t>
        </is>
      </c>
      <c r="E790" t="inlineStr">
        <is>
          <t>AVESTA</t>
        </is>
      </c>
      <c r="G790" t="n">
        <v>0.6</v>
      </c>
      <c r="H790" t="n">
        <v>0</v>
      </c>
      <c r="I790" t="n">
        <v>0</v>
      </c>
      <c r="J790" t="n">
        <v>0</v>
      </c>
      <c r="K790" t="n">
        <v>0</v>
      </c>
      <c r="L790" t="n">
        <v>0</v>
      </c>
      <c r="M790" t="n">
        <v>0</v>
      </c>
      <c r="N790" t="n">
        <v>0</v>
      </c>
      <c r="O790" t="n">
        <v>0</v>
      </c>
      <c r="P790" t="n">
        <v>0</v>
      </c>
      <c r="Q790" t="n">
        <v>0</v>
      </c>
      <c r="R790" s="2" t="inlineStr"/>
    </row>
    <row r="791" ht="15" customHeight="1">
      <c r="A791" t="inlineStr">
        <is>
          <t>A 64901-2018</t>
        </is>
      </c>
      <c r="B791" s="1" t="n">
        <v>43431</v>
      </c>
      <c r="C791" s="1" t="n">
        <v>45210</v>
      </c>
      <c r="D791" t="inlineStr">
        <is>
          <t>DALARNAS LÄN</t>
        </is>
      </c>
      <c r="E791" t="inlineStr">
        <is>
          <t>SÄTER</t>
        </is>
      </c>
      <c r="G791" t="n">
        <v>7.3</v>
      </c>
      <c r="H791" t="n">
        <v>0</v>
      </c>
      <c r="I791" t="n">
        <v>0</v>
      </c>
      <c r="J791" t="n">
        <v>0</v>
      </c>
      <c r="K791" t="n">
        <v>0</v>
      </c>
      <c r="L791" t="n">
        <v>0</v>
      </c>
      <c r="M791" t="n">
        <v>0</v>
      </c>
      <c r="N791" t="n">
        <v>0</v>
      </c>
      <c r="O791" t="n">
        <v>0</v>
      </c>
      <c r="P791" t="n">
        <v>0</v>
      </c>
      <c r="Q791" t="n">
        <v>0</v>
      </c>
      <c r="R791" s="2" t="inlineStr"/>
    </row>
    <row r="792" ht="15" customHeight="1">
      <c r="A792" t="inlineStr">
        <is>
          <t>A 64756-2018</t>
        </is>
      </c>
      <c r="B792" s="1" t="n">
        <v>43431</v>
      </c>
      <c r="C792" s="1" t="n">
        <v>45210</v>
      </c>
      <c r="D792" t="inlineStr">
        <is>
          <t>DALARNAS LÄN</t>
        </is>
      </c>
      <c r="E792" t="inlineStr">
        <is>
          <t>LEKSAND</t>
        </is>
      </c>
      <c r="G792" t="n">
        <v>4.2</v>
      </c>
      <c r="H792" t="n">
        <v>0</v>
      </c>
      <c r="I792" t="n">
        <v>0</v>
      </c>
      <c r="J792" t="n">
        <v>0</v>
      </c>
      <c r="K792" t="n">
        <v>0</v>
      </c>
      <c r="L792" t="n">
        <v>0</v>
      </c>
      <c r="M792" t="n">
        <v>0</v>
      </c>
      <c r="N792" t="n">
        <v>0</v>
      </c>
      <c r="O792" t="n">
        <v>0</v>
      </c>
      <c r="P792" t="n">
        <v>0</v>
      </c>
      <c r="Q792" t="n">
        <v>0</v>
      </c>
      <c r="R792" s="2" t="inlineStr"/>
    </row>
    <row r="793" ht="15" customHeight="1">
      <c r="A793" t="inlineStr">
        <is>
          <t>A 64777-2018</t>
        </is>
      </c>
      <c r="B793" s="1" t="n">
        <v>43431</v>
      </c>
      <c r="C793" s="1" t="n">
        <v>45210</v>
      </c>
      <c r="D793" t="inlineStr">
        <is>
          <t>DALARNAS LÄN</t>
        </is>
      </c>
      <c r="E793" t="inlineStr">
        <is>
          <t>MALUNG-SÄLEN</t>
        </is>
      </c>
      <c r="F793" t="inlineStr">
        <is>
          <t>Övriga statliga verk och myndigheter</t>
        </is>
      </c>
      <c r="G793" t="n">
        <v>4.3</v>
      </c>
      <c r="H793" t="n">
        <v>0</v>
      </c>
      <c r="I793" t="n">
        <v>0</v>
      </c>
      <c r="J793" t="n">
        <v>0</v>
      </c>
      <c r="K793" t="n">
        <v>0</v>
      </c>
      <c r="L793" t="n">
        <v>0</v>
      </c>
      <c r="M793" t="n">
        <v>0</v>
      </c>
      <c r="N793" t="n">
        <v>0</v>
      </c>
      <c r="O793" t="n">
        <v>0</v>
      </c>
      <c r="P793" t="n">
        <v>0</v>
      </c>
      <c r="Q793" t="n">
        <v>0</v>
      </c>
      <c r="R793" s="2" t="inlineStr"/>
    </row>
    <row r="794" ht="15" customHeight="1">
      <c r="A794" t="inlineStr">
        <is>
          <t>A 64648-2018</t>
        </is>
      </c>
      <c r="B794" s="1" t="n">
        <v>43431</v>
      </c>
      <c r="C794" s="1" t="n">
        <v>45210</v>
      </c>
      <c r="D794" t="inlineStr">
        <is>
          <t>DALARNAS LÄN</t>
        </is>
      </c>
      <c r="E794" t="inlineStr">
        <is>
          <t>GAGNEF</t>
        </is>
      </c>
      <c r="G794" t="n">
        <v>1.4</v>
      </c>
      <c r="H794" t="n">
        <v>0</v>
      </c>
      <c r="I794" t="n">
        <v>0</v>
      </c>
      <c r="J794" t="n">
        <v>0</v>
      </c>
      <c r="K794" t="n">
        <v>0</v>
      </c>
      <c r="L794" t="n">
        <v>0</v>
      </c>
      <c r="M794" t="n">
        <v>0</v>
      </c>
      <c r="N794" t="n">
        <v>0</v>
      </c>
      <c r="O794" t="n">
        <v>0</v>
      </c>
      <c r="P794" t="n">
        <v>0</v>
      </c>
      <c r="Q794" t="n">
        <v>0</v>
      </c>
      <c r="R794" s="2" t="inlineStr"/>
    </row>
    <row r="795" ht="15" customHeight="1">
      <c r="A795" t="inlineStr">
        <is>
          <t>A 64739-2018</t>
        </is>
      </c>
      <c r="B795" s="1" t="n">
        <v>43431</v>
      </c>
      <c r="C795" s="1" t="n">
        <v>45210</v>
      </c>
      <c r="D795" t="inlineStr">
        <is>
          <t>DALARNAS LÄN</t>
        </is>
      </c>
      <c r="E795" t="inlineStr">
        <is>
          <t>MALUNG-SÄLEN</t>
        </is>
      </c>
      <c r="G795" t="n">
        <v>5.5</v>
      </c>
      <c r="H795" t="n">
        <v>0</v>
      </c>
      <c r="I795" t="n">
        <v>0</v>
      </c>
      <c r="J795" t="n">
        <v>0</v>
      </c>
      <c r="K795" t="n">
        <v>0</v>
      </c>
      <c r="L795" t="n">
        <v>0</v>
      </c>
      <c r="M795" t="n">
        <v>0</v>
      </c>
      <c r="N795" t="n">
        <v>0</v>
      </c>
      <c r="O795" t="n">
        <v>0</v>
      </c>
      <c r="P795" t="n">
        <v>0</v>
      </c>
      <c r="Q795" t="n">
        <v>0</v>
      </c>
      <c r="R795" s="2" t="inlineStr"/>
    </row>
    <row r="796" ht="15" customHeight="1">
      <c r="A796" t="inlineStr">
        <is>
          <t>A 67413-2018</t>
        </is>
      </c>
      <c r="B796" s="1" t="n">
        <v>43432</v>
      </c>
      <c r="C796" s="1" t="n">
        <v>45210</v>
      </c>
      <c r="D796" t="inlineStr">
        <is>
          <t>DALARNAS LÄN</t>
        </is>
      </c>
      <c r="E796" t="inlineStr">
        <is>
          <t>RÄTTVIK</t>
        </is>
      </c>
      <c r="G796" t="n">
        <v>1.3</v>
      </c>
      <c r="H796" t="n">
        <v>0</v>
      </c>
      <c r="I796" t="n">
        <v>0</v>
      </c>
      <c r="J796" t="n">
        <v>0</v>
      </c>
      <c r="K796" t="n">
        <v>0</v>
      </c>
      <c r="L796" t="n">
        <v>0</v>
      </c>
      <c r="M796" t="n">
        <v>0</v>
      </c>
      <c r="N796" t="n">
        <v>0</v>
      </c>
      <c r="O796" t="n">
        <v>0</v>
      </c>
      <c r="P796" t="n">
        <v>0</v>
      </c>
      <c r="Q796" t="n">
        <v>0</v>
      </c>
      <c r="R796" s="2" t="inlineStr"/>
    </row>
    <row r="797" ht="15" customHeight="1">
      <c r="A797" t="inlineStr">
        <is>
          <t>A 64981-2018</t>
        </is>
      </c>
      <c r="B797" s="1" t="n">
        <v>43432</v>
      </c>
      <c r="C797" s="1" t="n">
        <v>45210</v>
      </c>
      <c r="D797" t="inlineStr">
        <is>
          <t>DALARNAS LÄN</t>
        </is>
      </c>
      <c r="E797" t="inlineStr">
        <is>
          <t>HEDEMORA</t>
        </is>
      </c>
      <c r="F797" t="inlineStr">
        <is>
          <t>Sveaskog</t>
        </is>
      </c>
      <c r="G797" t="n">
        <v>0.6</v>
      </c>
      <c r="H797" t="n">
        <v>0</v>
      </c>
      <c r="I797" t="n">
        <v>0</v>
      </c>
      <c r="J797" t="n">
        <v>0</v>
      </c>
      <c r="K797" t="n">
        <v>0</v>
      </c>
      <c r="L797" t="n">
        <v>0</v>
      </c>
      <c r="M797" t="n">
        <v>0</v>
      </c>
      <c r="N797" t="n">
        <v>0</v>
      </c>
      <c r="O797" t="n">
        <v>0</v>
      </c>
      <c r="P797" t="n">
        <v>0</v>
      </c>
      <c r="Q797" t="n">
        <v>0</v>
      </c>
      <c r="R797" s="2" t="inlineStr"/>
    </row>
    <row r="798" ht="15" customHeight="1">
      <c r="A798" t="inlineStr">
        <is>
          <t>A 67412-2018</t>
        </is>
      </c>
      <c r="B798" s="1" t="n">
        <v>43432</v>
      </c>
      <c r="C798" s="1" t="n">
        <v>45210</v>
      </c>
      <c r="D798" t="inlineStr">
        <is>
          <t>DALARNAS LÄN</t>
        </is>
      </c>
      <c r="E798" t="inlineStr">
        <is>
          <t>RÄTTVIK</t>
        </is>
      </c>
      <c r="G798" t="n">
        <v>1.2</v>
      </c>
      <c r="H798" t="n">
        <v>0</v>
      </c>
      <c r="I798" t="n">
        <v>0</v>
      </c>
      <c r="J798" t="n">
        <v>0</v>
      </c>
      <c r="K798" t="n">
        <v>0</v>
      </c>
      <c r="L798" t="n">
        <v>0</v>
      </c>
      <c r="M798" t="n">
        <v>0</v>
      </c>
      <c r="N798" t="n">
        <v>0</v>
      </c>
      <c r="O798" t="n">
        <v>0</v>
      </c>
      <c r="P798" t="n">
        <v>0</v>
      </c>
      <c r="Q798" t="n">
        <v>0</v>
      </c>
      <c r="R798" s="2" t="inlineStr"/>
    </row>
    <row r="799" ht="15" customHeight="1">
      <c r="A799" t="inlineStr">
        <is>
          <t>A 65093-2018</t>
        </is>
      </c>
      <c r="B799" s="1" t="n">
        <v>43432</v>
      </c>
      <c r="C799" s="1" t="n">
        <v>45210</v>
      </c>
      <c r="D799" t="inlineStr">
        <is>
          <t>DALARNAS LÄN</t>
        </is>
      </c>
      <c r="E799" t="inlineStr">
        <is>
          <t>ÄLVDALEN</t>
        </is>
      </c>
      <c r="F799" t="inlineStr">
        <is>
          <t>Bergvik skog öst AB</t>
        </is>
      </c>
      <c r="G799" t="n">
        <v>2.7</v>
      </c>
      <c r="H799" t="n">
        <v>0</v>
      </c>
      <c r="I799" t="n">
        <v>0</v>
      </c>
      <c r="J799" t="n">
        <v>0</v>
      </c>
      <c r="K799" t="n">
        <v>0</v>
      </c>
      <c r="L799" t="n">
        <v>0</v>
      </c>
      <c r="M799" t="n">
        <v>0</v>
      </c>
      <c r="N799" t="n">
        <v>0</v>
      </c>
      <c r="O799" t="n">
        <v>0</v>
      </c>
      <c r="P799" t="n">
        <v>0</v>
      </c>
      <c r="Q799" t="n">
        <v>0</v>
      </c>
      <c r="R799" s="2" t="inlineStr"/>
    </row>
    <row r="800" ht="15" customHeight="1">
      <c r="A800" t="inlineStr">
        <is>
          <t>A 65139-2018</t>
        </is>
      </c>
      <c r="B800" s="1" t="n">
        <v>43432</v>
      </c>
      <c r="C800" s="1" t="n">
        <v>45210</v>
      </c>
      <c r="D800" t="inlineStr">
        <is>
          <t>DALARNAS LÄN</t>
        </is>
      </c>
      <c r="E800" t="inlineStr">
        <is>
          <t>BORLÄNGE</t>
        </is>
      </c>
      <c r="G800" t="n">
        <v>1.4</v>
      </c>
      <c r="H800" t="n">
        <v>0</v>
      </c>
      <c r="I800" t="n">
        <v>0</v>
      </c>
      <c r="J800" t="n">
        <v>0</v>
      </c>
      <c r="K800" t="n">
        <v>0</v>
      </c>
      <c r="L800" t="n">
        <v>0</v>
      </c>
      <c r="M800" t="n">
        <v>0</v>
      </c>
      <c r="N800" t="n">
        <v>0</v>
      </c>
      <c r="O800" t="n">
        <v>0</v>
      </c>
      <c r="P800" t="n">
        <v>0</v>
      </c>
      <c r="Q800" t="n">
        <v>0</v>
      </c>
      <c r="R800" s="2" t="inlineStr"/>
    </row>
    <row r="801" ht="15" customHeight="1">
      <c r="A801" t="inlineStr">
        <is>
          <t>A 65400-2018</t>
        </is>
      </c>
      <c r="B801" s="1" t="n">
        <v>43432</v>
      </c>
      <c r="C801" s="1" t="n">
        <v>45210</v>
      </c>
      <c r="D801" t="inlineStr">
        <is>
          <t>DALARNAS LÄN</t>
        </is>
      </c>
      <c r="E801" t="inlineStr">
        <is>
          <t>ORSA</t>
        </is>
      </c>
      <c r="G801" t="n">
        <v>0.7</v>
      </c>
      <c r="H801" t="n">
        <v>0</v>
      </c>
      <c r="I801" t="n">
        <v>0</v>
      </c>
      <c r="J801" t="n">
        <v>0</v>
      </c>
      <c r="K801" t="n">
        <v>0</v>
      </c>
      <c r="L801" t="n">
        <v>0</v>
      </c>
      <c r="M801" t="n">
        <v>0</v>
      </c>
      <c r="N801" t="n">
        <v>0</v>
      </c>
      <c r="O801" t="n">
        <v>0</v>
      </c>
      <c r="P801" t="n">
        <v>0</v>
      </c>
      <c r="Q801" t="n">
        <v>0</v>
      </c>
      <c r="R801" s="2" t="inlineStr"/>
    </row>
    <row r="802" ht="15" customHeight="1">
      <c r="A802" t="inlineStr">
        <is>
          <t>A 65382-2018</t>
        </is>
      </c>
      <c r="B802" s="1" t="n">
        <v>43433</v>
      </c>
      <c r="C802" s="1" t="n">
        <v>45210</v>
      </c>
      <c r="D802" t="inlineStr">
        <is>
          <t>DALARNAS LÄN</t>
        </is>
      </c>
      <c r="E802" t="inlineStr">
        <is>
          <t>HEDEMORA</t>
        </is>
      </c>
      <c r="G802" t="n">
        <v>1.1</v>
      </c>
      <c r="H802" t="n">
        <v>0</v>
      </c>
      <c r="I802" t="n">
        <v>0</v>
      </c>
      <c r="J802" t="n">
        <v>0</v>
      </c>
      <c r="K802" t="n">
        <v>0</v>
      </c>
      <c r="L802" t="n">
        <v>0</v>
      </c>
      <c r="M802" t="n">
        <v>0</v>
      </c>
      <c r="N802" t="n">
        <v>0</v>
      </c>
      <c r="O802" t="n">
        <v>0</v>
      </c>
      <c r="P802" t="n">
        <v>0</v>
      </c>
      <c r="Q802" t="n">
        <v>0</v>
      </c>
      <c r="R802" s="2" t="inlineStr"/>
    </row>
    <row r="803" ht="15" customHeight="1">
      <c r="A803" t="inlineStr">
        <is>
          <t>A 65395-2018</t>
        </is>
      </c>
      <c r="B803" s="1" t="n">
        <v>43433</v>
      </c>
      <c r="C803" s="1" t="n">
        <v>45210</v>
      </c>
      <c r="D803" t="inlineStr">
        <is>
          <t>DALARNAS LÄN</t>
        </is>
      </c>
      <c r="E803" t="inlineStr">
        <is>
          <t>LEKSAND</t>
        </is>
      </c>
      <c r="F803" t="inlineStr">
        <is>
          <t>Bergvik skog väst AB</t>
        </is>
      </c>
      <c r="G803" t="n">
        <v>1.1</v>
      </c>
      <c r="H803" t="n">
        <v>0</v>
      </c>
      <c r="I803" t="n">
        <v>0</v>
      </c>
      <c r="J803" t="n">
        <v>0</v>
      </c>
      <c r="K803" t="n">
        <v>0</v>
      </c>
      <c r="L803" t="n">
        <v>0</v>
      </c>
      <c r="M803" t="n">
        <v>0</v>
      </c>
      <c r="N803" t="n">
        <v>0</v>
      </c>
      <c r="O803" t="n">
        <v>0</v>
      </c>
      <c r="P803" t="n">
        <v>0</v>
      </c>
      <c r="Q803" t="n">
        <v>0</v>
      </c>
      <c r="R803" s="2" t="inlineStr"/>
    </row>
    <row r="804" ht="15" customHeight="1">
      <c r="A804" t="inlineStr">
        <is>
          <t>A 67529-2018</t>
        </is>
      </c>
      <c r="B804" s="1" t="n">
        <v>43433</v>
      </c>
      <c r="C804" s="1" t="n">
        <v>45210</v>
      </c>
      <c r="D804" t="inlineStr">
        <is>
          <t>DALARNAS LÄN</t>
        </is>
      </c>
      <c r="E804" t="inlineStr">
        <is>
          <t>MORA</t>
        </is>
      </c>
      <c r="G804" t="n">
        <v>8.9</v>
      </c>
      <c r="H804" t="n">
        <v>0</v>
      </c>
      <c r="I804" t="n">
        <v>0</v>
      </c>
      <c r="J804" t="n">
        <v>0</v>
      </c>
      <c r="K804" t="n">
        <v>0</v>
      </c>
      <c r="L804" t="n">
        <v>0</v>
      </c>
      <c r="M804" t="n">
        <v>0</v>
      </c>
      <c r="N804" t="n">
        <v>0</v>
      </c>
      <c r="O804" t="n">
        <v>0</v>
      </c>
      <c r="P804" t="n">
        <v>0</v>
      </c>
      <c r="Q804" t="n">
        <v>0</v>
      </c>
      <c r="R804" s="2" t="inlineStr"/>
    </row>
    <row r="805" ht="15" customHeight="1">
      <c r="A805" t="inlineStr">
        <is>
          <t>A 65437-2018</t>
        </is>
      </c>
      <c r="B805" s="1" t="n">
        <v>43433</v>
      </c>
      <c r="C805" s="1" t="n">
        <v>45210</v>
      </c>
      <c r="D805" t="inlineStr">
        <is>
          <t>DALARNAS LÄN</t>
        </is>
      </c>
      <c r="E805" t="inlineStr">
        <is>
          <t>MALUNG-SÄLEN</t>
        </is>
      </c>
      <c r="G805" t="n">
        <v>12.5</v>
      </c>
      <c r="H805" t="n">
        <v>0</v>
      </c>
      <c r="I805" t="n">
        <v>0</v>
      </c>
      <c r="J805" t="n">
        <v>0</v>
      </c>
      <c r="K805" t="n">
        <v>0</v>
      </c>
      <c r="L805" t="n">
        <v>0</v>
      </c>
      <c r="M805" t="n">
        <v>0</v>
      </c>
      <c r="N805" t="n">
        <v>0</v>
      </c>
      <c r="O805" t="n">
        <v>0</v>
      </c>
      <c r="P805" t="n">
        <v>0</v>
      </c>
      <c r="Q805" t="n">
        <v>0</v>
      </c>
      <c r="R805" s="2" t="inlineStr"/>
    </row>
    <row r="806" ht="15" customHeight="1">
      <c r="A806" t="inlineStr">
        <is>
          <t>A 65454-2018</t>
        </is>
      </c>
      <c r="B806" s="1" t="n">
        <v>43433</v>
      </c>
      <c r="C806" s="1" t="n">
        <v>45210</v>
      </c>
      <c r="D806" t="inlineStr">
        <is>
          <t>DALARNAS LÄN</t>
        </is>
      </c>
      <c r="E806" t="inlineStr">
        <is>
          <t>MALUNG-SÄLEN</t>
        </is>
      </c>
      <c r="G806" t="n">
        <v>5.8</v>
      </c>
      <c r="H806" t="n">
        <v>0</v>
      </c>
      <c r="I806" t="n">
        <v>0</v>
      </c>
      <c r="J806" t="n">
        <v>0</v>
      </c>
      <c r="K806" t="n">
        <v>0</v>
      </c>
      <c r="L806" t="n">
        <v>0</v>
      </c>
      <c r="M806" t="n">
        <v>0</v>
      </c>
      <c r="N806" t="n">
        <v>0</v>
      </c>
      <c r="O806" t="n">
        <v>0</v>
      </c>
      <c r="P806" t="n">
        <v>0</v>
      </c>
      <c r="Q806" t="n">
        <v>0</v>
      </c>
      <c r="R806" s="2" t="inlineStr"/>
    </row>
    <row r="807" ht="15" customHeight="1">
      <c r="A807" t="inlineStr">
        <is>
          <t>A 65697-2018</t>
        </is>
      </c>
      <c r="B807" s="1" t="n">
        <v>43433</v>
      </c>
      <c r="C807" s="1" t="n">
        <v>45210</v>
      </c>
      <c r="D807" t="inlineStr">
        <is>
          <t>DALARNAS LÄN</t>
        </is>
      </c>
      <c r="E807" t="inlineStr">
        <is>
          <t>AVESTA</t>
        </is>
      </c>
      <c r="G807" t="n">
        <v>2.3</v>
      </c>
      <c r="H807" t="n">
        <v>0</v>
      </c>
      <c r="I807" t="n">
        <v>0</v>
      </c>
      <c r="J807" t="n">
        <v>0</v>
      </c>
      <c r="K807" t="n">
        <v>0</v>
      </c>
      <c r="L807" t="n">
        <v>0</v>
      </c>
      <c r="M807" t="n">
        <v>0</v>
      </c>
      <c r="N807" t="n">
        <v>0</v>
      </c>
      <c r="O807" t="n">
        <v>0</v>
      </c>
      <c r="P807" t="n">
        <v>0</v>
      </c>
      <c r="Q807" t="n">
        <v>0</v>
      </c>
      <c r="R807" s="2" t="inlineStr"/>
    </row>
    <row r="808" ht="15" customHeight="1">
      <c r="A808" t="inlineStr">
        <is>
          <t>A 65848-2018</t>
        </is>
      </c>
      <c r="B808" s="1" t="n">
        <v>43433</v>
      </c>
      <c r="C808" s="1" t="n">
        <v>45210</v>
      </c>
      <c r="D808" t="inlineStr">
        <is>
          <t>DALARNAS LÄN</t>
        </is>
      </c>
      <c r="E808" t="inlineStr">
        <is>
          <t>FALUN</t>
        </is>
      </c>
      <c r="G808" t="n">
        <v>1.1</v>
      </c>
      <c r="H808" t="n">
        <v>0</v>
      </c>
      <c r="I808" t="n">
        <v>0</v>
      </c>
      <c r="J808" t="n">
        <v>0</v>
      </c>
      <c r="K808" t="n">
        <v>0</v>
      </c>
      <c r="L808" t="n">
        <v>0</v>
      </c>
      <c r="M808" t="n">
        <v>0</v>
      </c>
      <c r="N808" t="n">
        <v>0</v>
      </c>
      <c r="O808" t="n">
        <v>0</v>
      </c>
      <c r="P808" t="n">
        <v>0</v>
      </c>
      <c r="Q808" t="n">
        <v>0</v>
      </c>
      <c r="R808" s="2" t="inlineStr"/>
    </row>
    <row r="809" ht="15" customHeight="1">
      <c r="A809" t="inlineStr">
        <is>
          <t>A 65551-2018</t>
        </is>
      </c>
      <c r="B809" s="1" t="n">
        <v>43433</v>
      </c>
      <c r="C809" s="1" t="n">
        <v>45210</v>
      </c>
      <c r="D809" t="inlineStr">
        <is>
          <t>DALARNAS LÄN</t>
        </is>
      </c>
      <c r="E809" t="inlineStr">
        <is>
          <t>HEDEMORA</t>
        </is>
      </c>
      <c r="G809" t="n">
        <v>3.8</v>
      </c>
      <c r="H809" t="n">
        <v>0</v>
      </c>
      <c r="I809" t="n">
        <v>0</v>
      </c>
      <c r="J809" t="n">
        <v>0</v>
      </c>
      <c r="K809" t="n">
        <v>0</v>
      </c>
      <c r="L809" t="n">
        <v>0</v>
      </c>
      <c r="M809" t="n">
        <v>0</v>
      </c>
      <c r="N809" t="n">
        <v>0</v>
      </c>
      <c r="O809" t="n">
        <v>0</v>
      </c>
      <c r="P809" t="n">
        <v>0</v>
      </c>
      <c r="Q809" t="n">
        <v>0</v>
      </c>
      <c r="R809" s="2" t="inlineStr"/>
    </row>
    <row r="810" ht="15" customHeight="1">
      <c r="A810" t="inlineStr">
        <is>
          <t>A 65565-2018</t>
        </is>
      </c>
      <c r="B810" s="1" t="n">
        <v>43433</v>
      </c>
      <c r="C810" s="1" t="n">
        <v>45210</v>
      </c>
      <c r="D810" t="inlineStr">
        <is>
          <t>DALARNAS LÄN</t>
        </is>
      </c>
      <c r="E810" t="inlineStr">
        <is>
          <t>HEDEMORA</t>
        </is>
      </c>
      <c r="G810" t="n">
        <v>3.3</v>
      </c>
      <c r="H810" t="n">
        <v>0</v>
      </c>
      <c r="I810" t="n">
        <v>0</v>
      </c>
      <c r="J810" t="n">
        <v>0</v>
      </c>
      <c r="K810" t="n">
        <v>0</v>
      </c>
      <c r="L810" t="n">
        <v>0</v>
      </c>
      <c r="M810" t="n">
        <v>0</v>
      </c>
      <c r="N810" t="n">
        <v>0</v>
      </c>
      <c r="O810" t="n">
        <v>0</v>
      </c>
      <c r="P810" t="n">
        <v>0</v>
      </c>
      <c r="Q810" t="n">
        <v>0</v>
      </c>
      <c r="R810" s="2" t="inlineStr"/>
    </row>
    <row r="811" ht="15" customHeight="1">
      <c r="A811" t="inlineStr">
        <is>
          <t>A 65767-2018</t>
        </is>
      </c>
      <c r="B811" s="1" t="n">
        <v>43433</v>
      </c>
      <c r="C811" s="1" t="n">
        <v>45210</v>
      </c>
      <c r="D811" t="inlineStr">
        <is>
          <t>DALARNAS LÄN</t>
        </is>
      </c>
      <c r="E811" t="inlineStr">
        <is>
          <t>FALUN</t>
        </is>
      </c>
      <c r="G811" t="n">
        <v>1.5</v>
      </c>
      <c r="H811" t="n">
        <v>0</v>
      </c>
      <c r="I811" t="n">
        <v>0</v>
      </c>
      <c r="J811" t="n">
        <v>0</v>
      </c>
      <c r="K811" t="n">
        <v>0</v>
      </c>
      <c r="L811" t="n">
        <v>0</v>
      </c>
      <c r="M811" t="n">
        <v>0</v>
      </c>
      <c r="N811" t="n">
        <v>0</v>
      </c>
      <c r="O811" t="n">
        <v>0</v>
      </c>
      <c r="P811" t="n">
        <v>0</v>
      </c>
      <c r="Q811" t="n">
        <v>0</v>
      </c>
      <c r="R811" s="2" t="inlineStr"/>
    </row>
    <row r="812" ht="15" customHeight="1">
      <c r="A812" t="inlineStr">
        <is>
          <t>A 66254-2018</t>
        </is>
      </c>
      <c r="B812" s="1" t="n">
        <v>43433</v>
      </c>
      <c r="C812" s="1" t="n">
        <v>45210</v>
      </c>
      <c r="D812" t="inlineStr">
        <is>
          <t>DALARNAS LÄN</t>
        </is>
      </c>
      <c r="E812" t="inlineStr">
        <is>
          <t>MALUNG-SÄLEN</t>
        </is>
      </c>
      <c r="G812" t="n">
        <v>1.5</v>
      </c>
      <c r="H812" t="n">
        <v>0</v>
      </c>
      <c r="I812" t="n">
        <v>0</v>
      </c>
      <c r="J812" t="n">
        <v>0</v>
      </c>
      <c r="K812" t="n">
        <v>0</v>
      </c>
      <c r="L812" t="n">
        <v>0</v>
      </c>
      <c r="M812" t="n">
        <v>0</v>
      </c>
      <c r="N812" t="n">
        <v>0</v>
      </c>
      <c r="O812" t="n">
        <v>0</v>
      </c>
      <c r="P812" t="n">
        <v>0</v>
      </c>
      <c r="Q812" t="n">
        <v>0</v>
      </c>
      <c r="R812" s="2" t="inlineStr"/>
    </row>
    <row r="813" ht="15" customHeight="1">
      <c r="A813" t="inlineStr">
        <is>
          <t>A 65406-2018</t>
        </is>
      </c>
      <c r="B813" s="1" t="n">
        <v>43433</v>
      </c>
      <c r="C813" s="1" t="n">
        <v>45210</v>
      </c>
      <c r="D813" t="inlineStr">
        <is>
          <t>DALARNAS LÄN</t>
        </is>
      </c>
      <c r="E813" t="inlineStr">
        <is>
          <t>LEKSAND</t>
        </is>
      </c>
      <c r="F813" t="inlineStr">
        <is>
          <t>Bergvik skog väst AB</t>
        </is>
      </c>
      <c r="G813" t="n">
        <v>1.7</v>
      </c>
      <c r="H813" t="n">
        <v>0</v>
      </c>
      <c r="I813" t="n">
        <v>0</v>
      </c>
      <c r="J813" t="n">
        <v>0</v>
      </c>
      <c r="K813" t="n">
        <v>0</v>
      </c>
      <c r="L813" t="n">
        <v>0</v>
      </c>
      <c r="M813" t="n">
        <v>0</v>
      </c>
      <c r="N813" t="n">
        <v>0</v>
      </c>
      <c r="O813" t="n">
        <v>0</v>
      </c>
      <c r="P813" t="n">
        <v>0</v>
      </c>
      <c r="Q813" t="n">
        <v>0</v>
      </c>
      <c r="R813" s="2" t="inlineStr"/>
    </row>
    <row r="814" ht="15" customHeight="1">
      <c r="A814" t="inlineStr">
        <is>
          <t>A 65508-2018</t>
        </is>
      </c>
      <c r="B814" s="1" t="n">
        <v>43433</v>
      </c>
      <c r="C814" s="1" t="n">
        <v>45210</v>
      </c>
      <c r="D814" t="inlineStr">
        <is>
          <t>DALARNAS LÄN</t>
        </is>
      </c>
      <c r="E814" t="inlineStr">
        <is>
          <t>ORSA</t>
        </is>
      </c>
      <c r="G814" t="n">
        <v>2</v>
      </c>
      <c r="H814" t="n">
        <v>0</v>
      </c>
      <c r="I814" t="n">
        <v>0</v>
      </c>
      <c r="J814" t="n">
        <v>0</v>
      </c>
      <c r="K814" t="n">
        <v>0</v>
      </c>
      <c r="L814" t="n">
        <v>0</v>
      </c>
      <c r="M814" t="n">
        <v>0</v>
      </c>
      <c r="N814" t="n">
        <v>0</v>
      </c>
      <c r="O814" t="n">
        <v>0</v>
      </c>
      <c r="P814" t="n">
        <v>0</v>
      </c>
      <c r="Q814" t="n">
        <v>0</v>
      </c>
      <c r="R814" s="2" t="inlineStr"/>
    </row>
    <row r="815" ht="15" customHeight="1">
      <c r="A815" t="inlineStr">
        <is>
          <t>A 65535-2018</t>
        </is>
      </c>
      <c r="B815" s="1" t="n">
        <v>43433</v>
      </c>
      <c r="C815" s="1" t="n">
        <v>45210</v>
      </c>
      <c r="D815" t="inlineStr">
        <is>
          <t>DALARNAS LÄN</t>
        </is>
      </c>
      <c r="E815" t="inlineStr">
        <is>
          <t>HEDEMORA</t>
        </is>
      </c>
      <c r="G815" t="n">
        <v>1</v>
      </c>
      <c r="H815" t="n">
        <v>0</v>
      </c>
      <c r="I815" t="n">
        <v>0</v>
      </c>
      <c r="J815" t="n">
        <v>0</v>
      </c>
      <c r="K815" t="n">
        <v>0</v>
      </c>
      <c r="L815" t="n">
        <v>0</v>
      </c>
      <c r="M815" t="n">
        <v>0</v>
      </c>
      <c r="N815" t="n">
        <v>0</v>
      </c>
      <c r="O815" t="n">
        <v>0</v>
      </c>
      <c r="P815" t="n">
        <v>0</v>
      </c>
      <c r="Q815" t="n">
        <v>0</v>
      </c>
      <c r="R815" s="2" t="inlineStr"/>
    </row>
    <row r="816" ht="15" customHeight="1">
      <c r="A816" t="inlineStr">
        <is>
          <t>A 66131-2018</t>
        </is>
      </c>
      <c r="B816" s="1" t="n">
        <v>43434</v>
      </c>
      <c r="C816" s="1" t="n">
        <v>45210</v>
      </c>
      <c r="D816" t="inlineStr">
        <is>
          <t>DALARNAS LÄN</t>
        </is>
      </c>
      <c r="E816" t="inlineStr">
        <is>
          <t>VANSBRO</t>
        </is>
      </c>
      <c r="G816" t="n">
        <v>1.2</v>
      </c>
      <c r="H816" t="n">
        <v>0</v>
      </c>
      <c r="I816" t="n">
        <v>0</v>
      </c>
      <c r="J816" t="n">
        <v>0</v>
      </c>
      <c r="K816" t="n">
        <v>0</v>
      </c>
      <c r="L816" t="n">
        <v>0</v>
      </c>
      <c r="M816" t="n">
        <v>0</v>
      </c>
      <c r="N816" t="n">
        <v>0</v>
      </c>
      <c r="O816" t="n">
        <v>0</v>
      </c>
      <c r="P816" t="n">
        <v>0</v>
      </c>
      <c r="Q816" t="n">
        <v>0</v>
      </c>
      <c r="R816" s="2" t="inlineStr"/>
    </row>
    <row r="817" ht="15" customHeight="1">
      <c r="A817" t="inlineStr">
        <is>
          <t>A 66024-2018</t>
        </is>
      </c>
      <c r="B817" s="1" t="n">
        <v>43434</v>
      </c>
      <c r="C817" s="1" t="n">
        <v>45210</v>
      </c>
      <c r="D817" t="inlineStr">
        <is>
          <t>DALARNAS LÄN</t>
        </is>
      </c>
      <c r="E817" t="inlineStr">
        <is>
          <t>MALUNG-SÄLEN</t>
        </is>
      </c>
      <c r="G817" t="n">
        <v>3.5</v>
      </c>
      <c r="H817" t="n">
        <v>0</v>
      </c>
      <c r="I817" t="n">
        <v>0</v>
      </c>
      <c r="J817" t="n">
        <v>0</v>
      </c>
      <c r="K817" t="n">
        <v>0</v>
      </c>
      <c r="L817" t="n">
        <v>0</v>
      </c>
      <c r="M817" t="n">
        <v>0</v>
      </c>
      <c r="N817" t="n">
        <v>0</v>
      </c>
      <c r="O817" t="n">
        <v>0</v>
      </c>
      <c r="P817" t="n">
        <v>0</v>
      </c>
      <c r="Q817" t="n">
        <v>0</v>
      </c>
      <c r="R817" s="2" t="inlineStr"/>
    </row>
    <row r="818" ht="15" customHeight="1">
      <c r="A818" t="inlineStr">
        <is>
          <t>A 66125-2018</t>
        </is>
      </c>
      <c r="B818" s="1" t="n">
        <v>43434</v>
      </c>
      <c r="C818" s="1" t="n">
        <v>45210</v>
      </c>
      <c r="D818" t="inlineStr">
        <is>
          <t>DALARNAS LÄN</t>
        </is>
      </c>
      <c r="E818" t="inlineStr">
        <is>
          <t>ÄLVDALEN</t>
        </is>
      </c>
      <c r="F818" t="inlineStr">
        <is>
          <t>Sveaskog</t>
        </is>
      </c>
      <c r="G818" t="n">
        <v>2.2</v>
      </c>
      <c r="H818" t="n">
        <v>0</v>
      </c>
      <c r="I818" t="n">
        <v>0</v>
      </c>
      <c r="J818" t="n">
        <v>0</v>
      </c>
      <c r="K818" t="n">
        <v>0</v>
      </c>
      <c r="L818" t="n">
        <v>0</v>
      </c>
      <c r="M818" t="n">
        <v>0</v>
      </c>
      <c r="N818" t="n">
        <v>0</v>
      </c>
      <c r="O818" t="n">
        <v>0</v>
      </c>
      <c r="P818" t="n">
        <v>0</v>
      </c>
      <c r="Q818" t="n">
        <v>0</v>
      </c>
      <c r="R818" s="2" t="inlineStr"/>
    </row>
    <row r="819" ht="15" customHeight="1">
      <c r="A819" t="inlineStr">
        <is>
          <t>A 67653-2018</t>
        </is>
      </c>
      <c r="B819" s="1" t="n">
        <v>43434</v>
      </c>
      <c r="C819" s="1" t="n">
        <v>45210</v>
      </c>
      <c r="D819" t="inlineStr">
        <is>
          <t>DALARNAS LÄN</t>
        </is>
      </c>
      <c r="E819" t="inlineStr">
        <is>
          <t>LEKSAND</t>
        </is>
      </c>
      <c r="G819" t="n">
        <v>1.4</v>
      </c>
      <c r="H819" t="n">
        <v>0</v>
      </c>
      <c r="I819" t="n">
        <v>0</v>
      </c>
      <c r="J819" t="n">
        <v>0</v>
      </c>
      <c r="K819" t="n">
        <v>0</v>
      </c>
      <c r="L819" t="n">
        <v>0</v>
      </c>
      <c r="M819" t="n">
        <v>0</v>
      </c>
      <c r="N819" t="n">
        <v>0</v>
      </c>
      <c r="O819" t="n">
        <v>0</v>
      </c>
      <c r="P819" t="n">
        <v>0</v>
      </c>
      <c r="Q819" t="n">
        <v>0</v>
      </c>
      <c r="R819" s="2" t="inlineStr"/>
    </row>
    <row r="820" ht="15" customHeight="1">
      <c r="A820" t="inlineStr">
        <is>
          <t>A 65901-2018</t>
        </is>
      </c>
      <c r="B820" s="1" t="n">
        <v>43434</v>
      </c>
      <c r="C820" s="1" t="n">
        <v>45210</v>
      </c>
      <c r="D820" t="inlineStr">
        <is>
          <t>DALARNAS LÄN</t>
        </is>
      </c>
      <c r="E820" t="inlineStr">
        <is>
          <t>MORA</t>
        </is>
      </c>
      <c r="G820" t="n">
        <v>1.2</v>
      </c>
      <c r="H820" t="n">
        <v>0</v>
      </c>
      <c r="I820" t="n">
        <v>0</v>
      </c>
      <c r="J820" t="n">
        <v>0</v>
      </c>
      <c r="K820" t="n">
        <v>0</v>
      </c>
      <c r="L820" t="n">
        <v>0</v>
      </c>
      <c r="M820" t="n">
        <v>0</v>
      </c>
      <c r="N820" t="n">
        <v>0</v>
      </c>
      <c r="O820" t="n">
        <v>0</v>
      </c>
      <c r="P820" t="n">
        <v>0</v>
      </c>
      <c r="Q820" t="n">
        <v>0</v>
      </c>
      <c r="R820" s="2" t="inlineStr"/>
    </row>
    <row r="821" ht="15" customHeight="1">
      <c r="A821" t="inlineStr">
        <is>
          <t>A 66026-2018</t>
        </is>
      </c>
      <c r="B821" s="1" t="n">
        <v>43434</v>
      </c>
      <c r="C821" s="1" t="n">
        <v>45210</v>
      </c>
      <c r="D821" t="inlineStr">
        <is>
          <t>DALARNAS LÄN</t>
        </is>
      </c>
      <c r="E821" t="inlineStr">
        <is>
          <t>RÄTTVIK</t>
        </is>
      </c>
      <c r="G821" t="n">
        <v>0.5</v>
      </c>
      <c r="H821" t="n">
        <v>0</v>
      </c>
      <c r="I821" t="n">
        <v>0</v>
      </c>
      <c r="J821" t="n">
        <v>0</v>
      </c>
      <c r="K821" t="n">
        <v>0</v>
      </c>
      <c r="L821" t="n">
        <v>0</v>
      </c>
      <c r="M821" t="n">
        <v>0</v>
      </c>
      <c r="N821" t="n">
        <v>0</v>
      </c>
      <c r="O821" t="n">
        <v>0</v>
      </c>
      <c r="P821" t="n">
        <v>0</v>
      </c>
      <c r="Q821" t="n">
        <v>0</v>
      </c>
      <c r="R821" s="2" t="inlineStr"/>
    </row>
    <row r="822" ht="15" customHeight="1">
      <c r="A822" t="inlineStr">
        <is>
          <t>A 66370-2018</t>
        </is>
      </c>
      <c r="B822" s="1" t="n">
        <v>43436</v>
      </c>
      <c r="C822" s="1" t="n">
        <v>45210</v>
      </c>
      <c r="D822" t="inlineStr">
        <is>
          <t>DALARNAS LÄN</t>
        </is>
      </c>
      <c r="E822" t="inlineStr">
        <is>
          <t>ÄLVDALEN</t>
        </is>
      </c>
      <c r="F822" t="inlineStr">
        <is>
          <t>Övriga statliga verk och myndigheter</t>
        </is>
      </c>
      <c r="G822" t="n">
        <v>4.3</v>
      </c>
      <c r="H822" t="n">
        <v>0</v>
      </c>
      <c r="I822" t="n">
        <v>0</v>
      </c>
      <c r="J822" t="n">
        <v>0</v>
      </c>
      <c r="K822" t="n">
        <v>0</v>
      </c>
      <c r="L822" t="n">
        <v>0</v>
      </c>
      <c r="M822" t="n">
        <v>0</v>
      </c>
      <c r="N822" t="n">
        <v>0</v>
      </c>
      <c r="O822" t="n">
        <v>0</v>
      </c>
      <c r="P822" t="n">
        <v>0</v>
      </c>
      <c r="Q822" t="n">
        <v>0</v>
      </c>
      <c r="R822" s="2" t="inlineStr"/>
    </row>
    <row r="823" ht="15" customHeight="1">
      <c r="A823" t="inlineStr">
        <is>
          <t>A 66380-2018</t>
        </is>
      </c>
      <c r="B823" s="1" t="n">
        <v>43436</v>
      </c>
      <c r="C823" s="1" t="n">
        <v>45210</v>
      </c>
      <c r="D823" t="inlineStr">
        <is>
          <t>DALARNAS LÄN</t>
        </is>
      </c>
      <c r="E823" t="inlineStr">
        <is>
          <t>AVESTA</t>
        </is>
      </c>
      <c r="G823" t="n">
        <v>1.2</v>
      </c>
      <c r="H823" t="n">
        <v>0</v>
      </c>
      <c r="I823" t="n">
        <v>0</v>
      </c>
      <c r="J823" t="n">
        <v>0</v>
      </c>
      <c r="K823" t="n">
        <v>0</v>
      </c>
      <c r="L823" t="n">
        <v>0</v>
      </c>
      <c r="M823" t="n">
        <v>0</v>
      </c>
      <c r="N823" t="n">
        <v>0</v>
      </c>
      <c r="O823" t="n">
        <v>0</v>
      </c>
      <c r="P823" t="n">
        <v>0</v>
      </c>
      <c r="Q823" t="n">
        <v>0</v>
      </c>
      <c r="R823" s="2" t="inlineStr"/>
    </row>
    <row r="824" ht="15" customHeight="1">
      <c r="A824" t="inlineStr">
        <is>
          <t>A 66359-2018</t>
        </is>
      </c>
      <c r="B824" s="1" t="n">
        <v>43436</v>
      </c>
      <c r="C824" s="1" t="n">
        <v>45210</v>
      </c>
      <c r="D824" t="inlineStr">
        <is>
          <t>DALARNAS LÄN</t>
        </is>
      </c>
      <c r="E824" t="inlineStr">
        <is>
          <t>LUDVIKA</t>
        </is>
      </c>
      <c r="G824" t="n">
        <v>4.4</v>
      </c>
      <c r="H824" t="n">
        <v>0</v>
      </c>
      <c r="I824" t="n">
        <v>0</v>
      </c>
      <c r="J824" t="n">
        <v>0</v>
      </c>
      <c r="K824" t="n">
        <v>0</v>
      </c>
      <c r="L824" t="n">
        <v>0</v>
      </c>
      <c r="M824" t="n">
        <v>0</v>
      </c>
      <c r="N824" t="n">
        <v>0</v>
      </c>
      <c r="O824" t="n">
        <v>0</v>
      </c>
      <c r="P824" t="n">
        <v>0</v>
      </c>
      <c r="Q824" t="n">
        <v>0</v>
      </c>
      <c r="R824" s="2" t="inlineStr"/>
    </row>
    <row r="825" ht="15" customHeight="1">
      <c r="A825" t="inlineStr">
        <is>
          <t>A 66371-2018</t>
        </is>
      </c>
      <c r="B825" s="1" t="n">
        <v>43436</v>
      </c>
      <c r="C825" s="1" t="n">
        <v>45210</v>
      </c>
      <c r="D825" t="inlineStr">
        <is>
          <t>DALARNAS LÄN</t>
        </is>
      </c>
      <c r="E825" t="inlineStr">
        <is>
          <t>ÄLVDALEN</t>
        </is>
      </c>
      <c r="F825" t="inlineStr">
        <is>
          <t>Övriga statliga verk och myndigheter</t>
        </is>
      </c>
      <c r="G825" t="n">
        <v>0.7</v>
      </c>
      <c r="H825" t="n">
        <v>0</v>
      </c>
      <c r="I825" t="n">
        <v>0</v>
      </c>
      <c r="J825" t="n">
        <v>0</v>
      </c>
      <c r="K825" t="n">
        <v>0</v>
      </c>
      <c r="L825" t="n">
        <v>0</v>
      </c>
      <c r="M825" t="n">
        <v>0</v>
      </c>
      <c r="N825" t="n">
        <v>0</v>
      </c>
      <c r="O825" t="n">
        <v>0</v>
      </c>
      <c r="P825" t="n">
        <v>0</v>
      </c>
      <c r="Q825" t="n">
        <v>0</v>
      </c>
      <c r="R825" s="2" t="inlineStr"/>
    </row>
    <row r="826" ht="15" customHeight="1">
      <c r="A826" t="inlineStr">
        <is>
          <t>A 66382-2018</t>
        </is>
      </c>
      <c r="B826" s="1" t="n">
        <v>43436</v>
      </c>
      <c r="C826" s="1" t="n">
        <v>45210</v>
      </c>
      <c r="D826" t="inlineStr">
        <is>
          <t>DALARNAS LÄN</t>
        </is>
      </c>
      <c r="E826" t="inlineStr">
        <is>
          <t>LEKSAND</t>
        </is>
      </c>
      <c r="G826" t="n">
        <v>2.2</v>
      </c>
      <c r="H826" t="n">
        <v>0</v>
      </c>
      <c r="I826" t="n">
        <v>0</v>
      </c>
      <c r="J826" t="n">
        <v>0</v>
      </c>
      <c r="K826" t="n">
        <v>0</v>
      </c>
      <c r="L826" t="n">
        <v>0</v>
      </c>
      <c r="M826" t="n">
        <v>0</v>
      </c>
      <c r="N826" t="n">
        <v>0</v>
      </c>
      <c r="O826" t="n">
        <v>0</v>
      </c>
      <c r="P826" t="n">
        <v>0</v>
      </c>
      <c r="Q826" t="n">
        <v>0</v>
      </c>
      <c r="R826" s="2" t="inlineStr"/>
    </row>
    <row r="827" ht="15" customHeight="1">
      <c r="A827" t="inlineStr">
        <is>
          <t>A 66368-2018</t>
        </is>
      </c>
      <c r="B827" s="1" t="n">
        <v>43436</v>
      </c>
      <c r="C827" s="1" t="n">
        <v>45210</v>
      </c>
      <c r="D827" t="inlineStr">
        <is>
          <t>DALARNAS LÄN</t>
        </is>
      </c>
      <c r="E827" t="inlineStr">
        <is>
          <t>ÄLVDALEN</t>
        </is>
      </c>
      <c r="F827" t="inlineStr">
        <is>
          <t>Övriga statliga verk och myndigheter</t>
        </is>
      </c>
      <c r="G827" t="n">
        <v>5.4</v>
      </c>
      <c r="H827" t="n">
        <v>0</v>
      </c>
      <c r="I827" t="n">
        <v>0</v>
      </c>
      <c r="J827" t="n">
        <v>0</v>
      </c>
      <c r="K827" t="n">
        <v>0</v>
      </c>
      <c r="L827" t="n">
        <v>0</v>
      </c>
      <c r="M827" t="n">
        <v>0</v>
      </c>
      <c r="N827" t="n">
        <v>0</v>
      </c>
      <c r="O827" t="n">
        <v>0</v>
      </c>
      <c r="P827" t="n">
        <v>0</v>
      </c>
      <c r="Q827" t="n">
        <v>0</v>
      </c>
      <c r="R827" s="2" t="inlineStr"/>
    </row>
    <row r="828" ht="15" customHeight="1">
      <c r="A828" t="inlineStr">
        <is>
          <t>A 66387-2018</t>
        </is>
      </c>
      <c r="B828" s="1" t="n">
        <v>43436</v>
      </c>
      <c r="C828" s="1" t="n">
        <v>45210</v>
      </c>
      <c r="D828" t="inlineStr">
        <is>
          <t>DALARNAS LÄN</t>
        </is>
      </c>
      <c r="E828" t="inlineStr">
        <is>
          <t>LEKSAND</t>
        </is>
      </c>
      <c r="G828" t="n">
        <v>2.8</v>
      </c>
      <c r="H828" t="n">
        <v>0</v>
      </c>
      <c r="I828" t="n">
        <v>0</v>
      </c>
      <c r="J828" t="n">
        <v>0</v>
      </c>
      <c r="K828" t="n">
        <v>0</v>
      </c>
      <c r="L828" t="n">
        <v>0</v>
      </c>
      <c r="M828" t="n">
        <v>0</v>
      </c>
      <c r="N828" t="n">
        <v>0</v>
      </c>
      <c r="O828" t="n">
        <v>0</v>
      </c>
      <c r="P828" t="n">
        <v>0</v>
      </c>
      <c r="Q828" t="n">
        <v>0</v>
      </c>
      <c r="R828" s="2" t="inlineStr"/>
    </row>
    <row r="829" ht="15" customHeight="1">
      <c r="A829" t="inlineStr">
        <is>
          <t>A 66608-2018</t>
        </is>
      </c>
      <c r="B829" s="1" t="n">
        <v>43437</v>
      </c>
      <c r="C829" s="1" t="n">
        <v>45210</v>
      </c>
      <c r="D829" t="inlineStr">
        <is>
          <t>DALARNAS LÄN</t>
        </is>
      </c>
      <c r="E829" t="inlineStr">
        <is>
          <t>MORA</t>
        </is>
      </c>
      <c r="G829" t="n">
        <v>5.2</v>
      </c>
      <c r="H829" t="n">
        <v>0</v>
      </c>
      <c r="I829" t="n">
        <v>0</v>
      </c>
      <c r="J829" t="n">
        <v>0</v>
      </c>
      <c r="K829" t="n">
        <v>0</v>
      </c>
      <c r="L829" t="n">
        <v>0</v>
      </c>
      <c r="M829" t="n">
        <v>0</v>
      </c>
      <c r="N829" t="n">
        <v>0</v>
      </c>
      <c r="O829" t="n">
        <v>0</v>
      </c>
      <c r="P829" t="n">
        <v>0</v>
      </c>
      <c r="Q829" t="n">
        <v>0</v>
      </c>
      <c r="R829" s="2" t="inlineStr"/>
    </row>
    <row r="830" ht="15" customHeight="1">
      <c r="A830" t="inlineStr">
        <is>
          <t>A 68038-2018</t>
        </is>
      </c>
      <c r="B830" s="1" t="n">
        <v>43437</v>
      </c>
      <c r="C830" s="1" t="n">
        <v>45210</v>
      </c>
      <c r="D830" t="inlineStr">
        <is>
          <t>DALARNAS LÄN</t>
        </is>
      </c>
      <c r="E830" t="inlineStr">
        <is>
          <t>ÄLVDALEN</t>
        </is>
      </c>
      <c r="G830" t="n">
        <v>2.7</v>
      </c>
      <c r="H830" t="n">
        <v>0</v>
      </c>
      <c r="I830" t="n">
        <v>0</v>
      </c>
      <c r="J830" t="n">
        <v>0</v>
      </c>
      <c r="K830" t="n">
        <v>0</v>
      </c>
      <c r="L830" t="n">
        <v>0</v>
      </c>
      <c r="M830" t="n">
        <v>0</v>
      </c>
      <c r="N830" t="n">
        <v>0</v>
      </c>
      <c r="O830" t="n">
        <v>0</v>
      </c>
      <c r="P830" t="n">
        <v>0</v>
      </c>
      <c r="Q830" t="n">
        <v>0</v>
      </c>
      <c r="R830" s="2" t="inlineStr"/>
    </row>
    <row r="831" ht="15" customHeight="1">
      <c r="A831" t="inlineStr">
        <is>
          <t>A 66607-2018</t>
        </is>
      </c>
      <c r="B831" s="1" t="n">
        <v>43437</v>
      </c>
      <c r="C831" s="1" t="n">
        <v>45210</v>
      </c>
      <c r="D831" t="inlineStr">
        <is>
          <t>DALARNAS LÄN</t>
        </is>
      </c>
      <c r="E831" t="inlineStr">
        <is>
          <t>LEKSAND</t>
        </is>
      </c>
      <c r="F831" t="inlineStr">
        <is>
          <t>Bergvik skog väst AB</t>
        </is>
      </c>
      <c r="G831" t="n">
        <v>3.7</v>
      </c>
      <c r="H831" t="n">
        <v>0</v>
      </c>
      <c r="I831" t="n">
        <v>0</v>
      </c>
      <c r="J831" t="n">
        <v>0</v>
      </c>
      <c r="K831" t="n">
        <v>0</v>
      </c>
      <c r="L831" t="n">
        <v>0</v>
      </c>
      <c r="M831" t="n">
        <v>0</v>
      </c>
      <c r="N831" t="n">
        <v>0</v>
      </c>
      <c r="O831" t="n">
        <v>0</v>
      </c>
      <c r="P831" t="n">
        <v>0</v>
      </c>
      <c r="Q831" t="n">
        <v>0</v>
      </c>
      <c r="R831" s="2" t="inlineStr"/>
    </row>
    <row r="832" ht="15" customHeight="1">
      <c r="A832" t="inlineStr">
        <is>
          <t>A 66638-2018</t>
        </is>
      </c>
      <c r="B832" s="1" t="n">
        <v>43437</v>
      </c>
      <c r="C832" s="1" t="n">
        <v>45210</v>
      </c>
      <c r="D832" t="inlineStr">
        <is>
          <t>DALARNAS LÄN</t>
        </is>
      </c>
      <c r="E832" t="inlineStr">
        <is>
          <t>MORA</t>
        </is>
      </c>
      <c r="F832" t="inlineStr">
        <is>
          <t>Bergvik skog väst AB</t>
        </is>
      </c>
      <c r="G832" t="n">
        <v>24.9</v>
      </c>
      <c r="H832" t="n">
        <v>0</v>
      </c>
      <c r="I832" t="n">
        <v>0</v>
      </c>
      <c r="J832" t="n">
        <v>0</v>
      </c>
      <c r="K832" t="n">
        <v>0</v>
      </c>
      <c r="L832" t="n">
        <v>0</v>
      </c>
      <c r="M832" t="n">
        <v>0</v>
      </c>
      <c r="N832" t="n">
        <v>0</v>
      </c>
      <c r="O832" t="n">
        <v>0</v>
      </c>
      <c r="P832" t="n">
        <v>0</v>
      </c>
      <c r="Q832" t="n">
        <v>0</v>
      </c>
      <c r="R832" s="2" t="inlineStr"/>
    </row>
    <row r="833" ht="15" customHeight="1">
      <c r="A833" t="inlineStr">
        <is>
          <t>A 66601-2018</t>
        </is>
      </c>
      <c r="B833" s="1" t="n">
        <v>43437</v>
      </c>
      <c r="C833" s="1" t="n">
        <v>45210</v>
      </c>
      <c r="D833" t="inlineStr">
        <is>
          <t>DALARNAS LÄN</t>
        </is>
      </c>
      <c r="E833" t="inlineStr">
        <is>
          <t>LEKSAND</t>
        </is>
      </c>
      <c r="F833" t="inlineStr">
        <is>
          <t>Bergvik skog väst AB</t>
        </is>
      </c>
      <c r="G833" t="n">
        <v>0.7</v>
      </c>
      <c r="H833" t="n">
        <v>0</v>
      </c>
      <c r="I833" t="n">
        <v>0</v>
      </c>
      <c r="J833" t="n">
        <v>0</v>
      </c>
      <c r="K833" t="n">
        <v>0</v>
      </c>
      <c r="L833" t="n">
        <v>0</v>
      </c>
      <c r="M833" t="n">
        <v>0</v>
      </c>
      <c r="N833" t="n">
        <v>0</v>
      </c>
      <c r="O833" t="n">
        <v>0</v>
      </c>
      <c r="P833" t="n">
        <v>0</v>
      </c>
      <c r="Q833" t="n">
        <v>0</v>
      </c>
      <c r="R833" s="2" t="inlineStr"/>
    </row>
    <row r="834" ht="15" customHeight="1">
      <c r="A834" t="inlineStr">
        <is>
          <t>A 66650-2018</t>
        </is>
      </c>
      <c r="B834" s="1" t="n">
        <v>43437</v>
      </c>
      <c r="C834" s="1" t="n">
        <v>45210</v>
      </c>
      <c r="D834" t="inlineStr">
        <is>
          <t>DALARNAS LÄN</t>
        </is>
      </c>
      <c r="E834" t="inlineStr">
        <is>
          <t>GAGNEF</t>
        </is>
      </c>
      <c r="G834" t="n">
        <v>0.8</v>
      </c>
      <c r="H834" t="n">
        <v>0</v>
      </c>
      <c r="I834" t="n">
        <v>0</v>
      </c>
      <c r="J834" t="n">
        <v>0</v>
      </c>
      <c r="K834" t="n">
        <v>0</v>
      </c>
      <c r="L834" t="n">
        <v>0</v>
      </c>
      <c r="M834" t="n">
        <v>0</v>
      </c>
      <c r="N834" t="n">
        <v>0</v>
      </c>
      <c r="O834" t="n">
        <v>0</v>
      </c>
      <c r="P834" t="n">
        <v>0</v>
      </c>
      <c r="Q834" t="n">
        <v>0</v>
      </c>
      <c r="R834" s="2" t="inlineStr"/>
    </row>
    <row r="835" ht="15" customHeight="1">
      <c r="A835" t="inlineStr">
        <is>
          <t>A 66782-2018</t>
        </is>
      </c>
      <c r="B835" s="1" t="n">
        <v>43437</v>
      </c>
      <c r="C835" s="1" t="n">
        <v>45210</v>
      </c>
      <c r="D835" t="inlineStr">
        <is>
          <t>DALARNAS LÄN</t>
        </is>
      </c>
      <c r="E835" t="inlineStr">
        <is>
          <t>SMEDJEBACKEN</t>
        </is>
      </c>
      <c r="F835" t="inlineStr">
        <is>
          <t>Kyrkan</t>
        </is>
      </c>
      <c r="G835" t="n">
        <v>4.7</v>
      </c>
      <c r="H835" t="n">
        <v>0</v>
      </c>
      <c r="I835" t="n">
        <v>0</v>
      </c>
      <c r="J835" t="n">
        <v>0</v>
      </c>
      <c r="K835" t="n">
        <v>0</v>
      </c>
      <c r="L835" t="n">
        <v>0</v>
      </c>
      <c r="M835" t="n">
        <v>0</v>
      </c>
      <c r="N835" t="n">
        <v>0</v>
      </c>
      <c r="O835" t="n">
        <v>0</v>
      </c>
      <c r="P835" t="n">
        <v>0</v>
      </c>
      <c r="Q835" t="n">
        <v>0</v>
      </c>
      <c r="R835" s="2" t="inlineStr"/>
    </row>
    <row r="836" ht="15" customHeight="1">
      <c r="A836" t="inlineStr">
        <is>
          <t>A 67885-2018</t>
        </is>
      </c>
      <c r="B836" s="1" t="n">
        <v>43437</v>
      </c>
      <c r="C836" s="1" t="n">
        <v>45210</v>
      </c>
      <c r="D836" t="inlineStr">
        <is>
          <t>DALARNAS LÄN</t>
        </is>
      </c>
      <c r="E836" t="inlineStr">
        <is>
          <t>MALUNG-SÄLEN</t>
        </is>
      </c>
      <c r="F836" t="inlineStr">
        <is>
          <t>Allmännings- och besparingsskogar</t>
        </is>
      </c>
      <c r="G836" t="n">
        <v>0.5</v>
      </c>
      <c r="H836" t="n">
        <v>0</v>
      </c>
      <c r="I836" t="n">
        <v>0</v>
      </c>
      <c r="J836" t="n">
        <v>0</v>
      </c>
      <c r="K836" t="n">
        <v>0</v>
      </c>
      <c r="L836" t="n">
        <v>0</v>
      </c>
      <c r="M836" t="n">
        <v>0</v>
      </c>
      <c r="N836" t="n">
        <v>0</v>
      </c>
      <c r="O836" t="n">
        <v>0</v>
      </c>
      <c r="P836" t="n">
        <v>0</v>
      </c>
      <c r="Q836" t="n">
        <v>0</v>
      </c>
      <c r="R836" s="2" t="inlineStr"/>
    </row>
    <row r="837" ht="15" customHeight="1">
      <c r="A837" t="inlineStr">
        <is>
          <t>A 68039-2018</t>
        </is>
      </c>
      <c r="B837" s="1" t="n">
        <v>43437</v>
      </c>
      <c r="C837" s="1" t="n">
        <v>45210</v>
      </c>
      <c r="D837" t="inlineStr">
        <is>
          <t>DALARNAS LÄN</t>
        </is>
      </c>
      <c r="E837" t="inlineStr">
        <is>
          <t>MORA</t>
        </is>
      </c>
      <c r="G837" t="n">
        <v>10.4</v>
      </c>
      <c r="H837" t="n">
        <v>0</v>
      </c>
      <c r="I837" t="n">
        <v>0</v>
      </c>
      <c r="J837" t="n">
        <v>0</v>
      </c>
      <c r="K837" t="n">
        <v>0</v>
      </c>
      <c r="L837" t="n">
        <v>0</v>
      </c>
      <c r="M837" t="n">
        <v>0</v>
      </c>
      <c r="N837" t="n">
        <v>0</v>
      </c>
      <c r="O837" t="n">
        <v>0</v>
      </c>
      <c r="P837" t="n">
        <v>0</v>
      </c>
      <c r="Q837" t="n">
        <v>0</v>
      </c>
      <c r="R837" s="2" t="inlineStr"/>
    </row>
    <row r="838" ht="15" customHeight="1">
      <c r="A838" t="inlineStr">
        <is>
          <t>A 66675-2018</t>
        </is>
      </c>
      <c r="B838" s="1" t="n">
        <v>43437</v>
      </c>
      <c r="C838" s="1" t="n">
        <v>45210</v>
      </c>
      <c r="D838" t="inlineStr">
        <is>
          <t>DALARNAS LÄN</t>
        </is>
      </c>
      <c r="E838" t="inlineStr">
        <is>
          <t>SÄTER</t>
        </is>
      </c>
      <c r="G838" t="n">
        <v>6</v>
      </c>
      <c r="H838" t="n">
        <v>0</v>
      </c>
      <c r="I838" t="n">
        <v>0</v>
      </c>
      <c r="J838" t="n">
        <v>0</v>
      </c>
      <c r="K838" t="n">
        <v>0</v>
      </c>
      <c r="L838" t="n">
        <v>0</v>
      </c>
      <c r="M838" t="n">
        <v>0</v>
      </c>
      <c r="N838" t="n">
        <v>0</v>
      </c>
      <c r="O838" t="n">
        <v>0</v>
      </c>
      <c r="P838" t="n">
        <v>0</v>
      </c>
      <c r="Q838" t="n">
        <v>0</v>
      </c>
      <c r="R838" s="2" t="inlineStr"/>
    </row>
    <row r="839" ht="15" customHeight="1">
      <c r="A839" t="inlineStr">
        <is>
          <t>A 68048-2018</t>
        </is>
      </c>
      <c r="B839" s="1" t="n">
        <v>43437</v>
      </c>
      <c r="C839" s="1" t="n">
        <v>45210</v>
      </c>
      <c r="D839" t="inlineStr">
        <is>
          <t>DALARNAS LÄN</t>
        </is>
      </c>
      <c r="E839" t="inlineStr">
        <is>
          <t>MORA</t>
        </is>
      </c>
      <c r="G839" t="n">
        <v>22</v>
      </c>
      <c r="H839" t="n">
        <v>0</v>
      </c>
      <c r="I839" t="n">
        <v>0</v>
      </c>
      <c r="J839" t="n">
        <v>0</v>
      </c>
      <c r="K839" t="n">
        <v>0</v>
      </c>
      <c r="L839" t="n">
        <v>0</v>
      </c>
      <c r="M839" t="n">
        <v>0</v>
      </c>
      <c r="N839" t="n">
        <v>0</v>
      </c>
      <c r="O839" t="n">
        <v>0</v>
      </c>
      <c r="P839" t="n">
        <v>0</v>
      </c>
      <c r="Q839" t="n">
        <v>0</v>
      </c>
      <c r="R839" s="2" t="inlineStr"/>
    </row>
    <row r="840" ht="15" customHeight="1">
      <c r="A840" t="inlineStr">
        <is>
          <t>A 68293-2018</t>
        </is>
      </c>
      <c r="B840" s="1" t="n">
        <v>43438</v>
      </c>
      <c r="C840" s="1" t="n">
        <v>45210</v>
      </c>
      <c r="D840" t="inlineStr">
        <is>
          <t>DALARNAS LÄN</t>
        </is>
      </c>
      <c r="E840" t="inlineStr">
        <is>
          <t>MALUNG-SÄLEN</t>
        </is>
      </c>
      <c r="F840" t="inlineStr">
        <is>
          <t>Kommuner</t>
        </is>
      </c>
      <c r="G840" t="n">
        <v>1.9</v>
      </c>
      <c r="H840" t="n">
        <v>0</v>
      </c>
      <c r="I840" t="n">
        <v>0</v>
      </c>
      <c r="J840" t="n">
        <v>0</v>
      </c>
      <c r="K840" t="n">
        <v>0</v>
      </c>
      <c r="L840" t="n">
        <v>0</v>
      </c>
      <c r="M840" t="n">
        <v>0</v>
      </c>
      <c r="N840" t="n">
        <v>0</v>
      </c>
      <c r="O840" t="n">
        <v>0</v>
      </c>
      <c r="P840" t="n">
        <v>0</v>
      </c>
      <c r="Q840" t="n">
        <v>0</v>
      </c>
      <c r="R840" s="2" t="inlineStr"/>
    </row>
    <row r="841" ht="15" customHeight="1">
      <c r="A841" t="inlineStr">
        <is>
          <t>A 66947-2018</t>
        </is>
      </c>
      <c r="B841" s="1" t="n">
        <v>43438</v>
      </c>
      <c r="C841" s="1" t="n">
        <v>45210</v>
      </c>
      <c r="D841" t="inlineStr">
        <is>
          <t>DALARNAS LÄN</t>
        </is>
      </c>
      <c r="E841" t="inlineStr">
        <is>
          <t>SMEDJEBACKEN</t>
        </is>
      </c>
      <c r="G841" t="n">
        <v>0.8</v>
      </c>
      <c r="H841" t="n">
        <v>0</v>
      </c>
      <c r="I841" t="n">
        <v>0</v>
      </c>
      <c r="J841" t="n">
        <v>0</v>
      </c>
      <c r="K841" t="n">
        <v>0</v>
      </c>
      <c r="L841" t="n">
        <v>0</v>
      </c>
      <c r="M841" t="n">
        <v>0</v>
      </c>
      <c r="N841" t="n">
        <v>0</v>
      </c>
      <c r="O841" t="n">
        <v>0</v>
      </c>
      <c r="P841" t="n">
        <v>0</v>
      </c>
      <c r="Q841" t="n">
        <v>0</v>
      </c>
      <c r="R841" s="2" t="inlineStr"/>
    </row>
    <row r="842" ht="15" customHeight="1">
      <c r="A842" t="inlineStr">
        <is>
          <t>A 67042-2018</t>
        </is>
      </c>
      <c r="B842" s="1" t="n">
        <v>43438</v>
      </c>
      <c r="C842" s="1" t="n">
        <v>45210</v>
      </c>
      <c r="D842" t="inlineStr">
        <is>
          <t>DALARNAS LÄN</t>
        </is>
      </c>
      <c r="E842" t="inlineStr">
        <is>
          <t>HEDEMORA</t>
        </is>
      </c>
      <c r="F842" t="inlineStr">
        <is>
          <t>Sveaskog</t>
        </is>
      </c>
      <c r="G842" t="n">
        <v>1.3</v>
      </c>
      <c r="H842" t="n">
        <v>0</v>
      </c>
      <c r="I842" t="n">
        <v>0</v>
      </c>
      <c r="J842" t="n">
        <v>0</v>
      </c>
      <c r="K842" t="n">
        <v>0</v>
      </c>
      <c r="L842" t="n">
        <v>0</v>
      </c>
      <c r="M842" t="n">
        <v>0</v>
      </c>
      <c r="N842" t="n">
        <v>0</v>
      </c>
      <c r="O842" t="n">
        <v>0</v>
      </c>
      <c r="P842" t="n">
        <v>0</v>
      </c>
      <c r="Q842" t="n">
        <v>0</v>
      </c>
      <c r="R842" s="2" t="inlineStr"/>
    </row>
    <row r="843" ht="15" customHeight="1">
      <c r="A843" t="inlineStr">
        <is>
          <t>A 68445-2018</t>
        </is>
      </c>
      <c r="B843" s="1" t="n">
        <v>43438</v>
      </c>
      <c r="C843" s="1" t="n">
        <v>45210</v>
      </c>
      <c r="D843" t="inlineStr">
        <is>
          <t>DALARNAS LÄN</t>
        </is>
      </c>
      <c r="E843" t="inlineStr">
        <is>
          <t>RÄTTVIK</t>
        </is>
      </c>
      <c r="G843" t="n">
        <v>5.5</v>
      </c>
      <c r="H843" t="n">
        <v>0</v>
      </c>
      <c r="I843" t="n">
        <v>0</v>
      </c>
      <c r="J843" t="n">
        <v>0</v>
      </c>
      <c r="K843" t="n">
        <v>0</v>
      </c>
      <c r="L843" t="n">
        <v>0</v>
      </c>
      <c r="M843" t="n">
        <v>0</v>
      </c>
      <c r="N843" t="n">
        <v>0</v>
      </c>
      <c r="O843" t="n">
        <v>0</v>
      </c>
      <c r="P843" t="n">
        <v>0</v>
      </c>
      <c r="Q843" t="n">
        <v>0</v>
      </c>
      <c r="R843" s="2" t="inlineStr"/>
    </row>
    <row r="844" ht="15" customHeight="1">
      <c r="A844" t="inlineStr">
        <is>
          <t>A 66948-2018</t>
        </is>
      </c>
      <c r="B844" s="1" t="n">
        <v>43438</v>
      </c>
      <c r="C844" s="1" t="n">
        <v>45210</v>
      </c>
      <c r="D844" t="inlineStr">
        <is>
          <t>DALARNAS LÄN</t>
        </is>
      </c>
      <c r="E844" t="inlineStr">
        <is>
          <t>SMEDJEBACKEN</t>
        </is>
      </c>
      <c r="G844" t="n">
        <v>3.5</v>
      </c>
      <c r="H844" t="n">
        <v>0</v>
      </c>
      <c r="I844" t="n">
        <v>0</v>
      </c>
      <c r="J844" t="n">
        <v>0</v>
      </c>
      <c r="K844" t="n">
        <v>0</v>
      </c>
      <c r="L844" t="n">
        <v>0</v>
      </c>
      <c r="M844" t="n">
        <v>0</v>
      </c>
      <c r="N844" t="n">
        <v>0</v>
      </c>
      <c r="O844" t="n">
        <v>0</v>
      </c>
      <c r="P844" t="n">
        <v>0</v>
      </c>
      <c r="Q844" t="n">
        <v>0</v>
      </c>
      <c r="R844" s="2" t="inlineStr"/>
    </row>
    <row r="845" ht="15" customHeight="1">
      <c r="A845" t="inlineStr">
        <is>
          <t>A 67236-2018</t>
        </is>
      </c>
      <c r="B845" s="1" t="n">
        <v>43439</v>
      </c>
      <c r="C845" s="1" t="n">
        <v>45210</v>
      </c>
      <c r="D845" t="inlineStr">
        <is>
          <t>DALARNAS LÄN</t>
        </is>
      </c>
      <c r="E845" t="inlineStr">
        <is>
          <t>VANSBRO</t>
        </is>
      </c>
      <c r="G845" t="n">
        <v>0.6</v>
      </c>
      <c r="H845" t="n">
        <v>0</v>
      </c>
      <c r="I845" t="n">
        <v>0</v>
      </c>
      <c r="J845" t="n">
        <v>0</v>
      </c>
      <c r="K845" t="n">
        <v>0</v>
      </c>
      <c r="L845" t="n">
        <v>0</v>
      </c>
      <c r="M845" t="n">
        <v>0</v>
      </c>
      <c r="N845" t="n">
        <v>0</v>
      </c>
      <c r="O845" t="n">
        <v>0</v>
      </c>
      <c r="P845" t="n">
        <v>0</v>
      </c>
      <c r="Q845" t="n">
        <v>0</v>
      </c>
      <c r="R845" s="2" t="inlineStr"/>
    </row>
    <row r="846" ht="15" customHeight="1">
      <c r="A846" t="inlineStr">
        <is>
          <t>A 67327-2018</t>
        </is>
      </c>
      <c r="B846" s="1" t="n">
        <v>43439</v>
      </c>
      <c r="C846" s="1" t="n">
        <v>45210</v>
      </c>
      <c r="D846" t="inlineStr">
        <is>
          <t>DALARNAS LÄN</t>
        </is>
      </c>
      <c r="E846" t="inlineStr">
        <is>
          <t>VANSBRO</t>
        </is>
      </c>
      <c r="F846" t="inlineStr">
        <is>
          <t>Bergvik skog öst AB</t>
        </is>
      </c>
      <c r="G846" t="n">
        <v>0.4</v>
      </c>
      <c r="H846" t="n">
        <v>0</v>
      </c>
      <c r="I846" t="n">
        <v>0</v>
      </c>
      <c r="J846" t="n">
        <v>0</v>
      </c>
      <c r="K846" t="n">
        <v>0</v>
      </c>
      <c r="L846" t="n">
        <v>0</v>
      </c>
      <c r="M846" t="n">
        <v>0</v>
      </c>
      <c r="N846" t="n">
        <v>0</v>
      </c>
      <c r="O846" t="n">
        <v>0</v>
      </c>
      <c r="P846" t="n">
        <v>0</v>
      </c>
      <c r="Q846" t="n">
        <v>0</v>
      </c>
      <c r="R846" s="2" t="inlineStr"/>
    </row>
    <row r="847" ht="15" customHeight="1">
      <c r="A847" t="inlineStr">
        <is>
          <t>A 67470-2018</t>
        </is>
      </c>
      <c r="B847" s="1" t="n">
        <v>43439</v>
      </c>
      <c r="C847" s="1" t="n">
        <v>45210</v>
      </c>
      <c r="D847" t="inlineStr">
        <is>
          <t>DALARNAS LÄN</t>
        </is>
      </c>
      <c r="E847" t="inlineStr">
        <is>
          <t>SÄTER</t>
        </is>
      </c>
      <c r="G847" t="n">
        <v>0.8</v>
      </c>
      <c r="H847" t="n">
        <v>0</v>
      </c>
      <c r="I847" t="n">
        <v>0</v>
      </c>
      <c r="J847" t="n">
        <v>0</v>
      </c>
      <c r="K847" t="n">
        <v>0</v>
      </c>
      <c r="L847" t="n">
        <v>0</v>
      </c>
      <c r="M847" t="n">
        <v>0</v>
      </c>
      <c r="N847" t="n">
        <v>0</v>
      </c>
      <c r="O847" t="n">
        <v>0</v>
      </c>
      <c r="P847" t="n">
        <v>0</v>
      </c>
      <c r="Q847" t="n">
        <v>0</v>
      </c>
      <c r="R847" s="2" t="inlineStr"/>
    </row>
    <row r="848" ht="15" customHeight="1">
      <c r="A848" t="inlineStr">
        <is>
          <t>A 68468-2018</t>
        </is>
      </c>
      <c r="B848" s="1" t="n">
        <v>43439</v>
      </c>
      <c r="C848" s="1" t="n">
        <v>45210</v>
      </c>
      <c r="D848" t="inlineStr">
        <is>
          <t>DALARNAS LÄN</t>
        </is>
      </c>
      <c r="E848" t="inlineStr">
        <is>
          <t>LEKSAND</t>
        </is>
      </c>
      <c r="G848" t="n">
        <v>0.6</v>
      </c>
      <c r="H848" t="n">
        <v>0</v>
      </c>
      <c r="I848" t="n">
        <v>0</v>
      </c>
      <c r="J848" t="n">
        <v>0</v>
      </c>
      <c r="K848" t="n">
        <v>0</v>
      </c>
      <c r="L848" t="n">
        <v>0</v>
      </c>
      <c r="M848" t="n">
        <v>0</v>
      </c>
      <c r="N848" t="n">
        <v>0</v>
      </c>
      <c r="O848" t="n">
        <v>0</v>
      </c>
      <c r="P848" t="n">
        <v>0</v>
      </c>
      <c r="Q848" t="n">
        <v>0</v>
      </c>
      <c r="R848" s="2" t="inlineStr"/>
    </row>
    <row r="849" ht="15" customHeight="1">
      <c r="A849" t="inlineStr">
        <is>
          <t>A 67553-2018</t>
        </is>
      </c>
      <c r="B849" s="1" t="n">
        <v>43439</v>
      </c>
      <c r="C849" s="1" t="n">
        <v>45210</v>
      </c>
      <c r="D849" t="inlineStr">
        <is>
          <t>DALARNAS LÄN</t>
        </is>
      </c>
      <c r="E849" t="inlineStr">
        <is>
          <t>GAGNEF</t>
        </is>
      </c>
      <c r="G849" t="n">
        <v>2.3</v>
      </c>
      <c r="H849" t="n">
        <v>0</v>
      </c>
      <c r="I849" t="n">
        <v>0</v>
      </c>
      <c r="J849" t="n">
        <v>0</v>
      </c>
      <c r="K849" t="n">
        <v>0</v>
      </c>
      <c r="L849" t="n">
        <v>0</v>
      </c>
      <c r="M849" t="n">
        <v>0</v>
      </c>
      <c r="N849" t="n">
        <v>0</v>
      </c>
      <c r="O849" t="n">
        <v>0</v>
      </c>
      <c r="P849" t="n">
        <v>0</v>
      </c>
      <c r="Q849" t="n">
        <v>0</v>
      </c>
      <c r="R849" s="2" t="inlineStr"/>
    </row>
    <row r="850" ht="15" customHeight="1">
      <c r="A850" t="inlineStr">
        <is>
          <t>A 67721-2018</t>
        </is>
      </c>
      <c r="B850" s="1" t="n">
        <v>43440</v>
      </c>
      <c r="C850" s="1" t="n">
        <v>45210</v>
      </c>
      <c r="D850" t="inlineStr">
        <is>
          <t>DALARNAS LÄN</t>
        </is>
      </c>
      <c r="E850" t="inlineStr">
        <is>
          <t>MALUNG-SÄLEN</t>
        </is>
      </c>
      <c r="G850" t="n">
        <v>10.8</v>
      </c>
      <c r="H850" t="n">
        <v>0</v>
      </c>
      <c r="I850" t="n">
        <v>0</v>
      </c>
      <c r="J850" t="n">
        <v>0</v>
      </c>
      <c r="K850" t="n">
        <v>0</v>
      </c>
      <c r="L850" t="n">
        <v>0</v>
      </c>
      <c r="M850" t="n">
        <v>0</v>
      </c>
      <c r="N850" t="n">
        <v>0</v>
      </c>
      <c r="O850" t="n">
        <v>0</v>
      </c>
      <c r="P850" t="n">
        <v>0</v>
      </c>
      <c r="Q850" t="n">
        <v>0</v>
      </c>
      <c r="R850" s="2" t="inlineStr"/>
    </row>
    <row r="851" ht="15" customHeight="1">
      <c r="A851" t="inlineStr">
        <is>
          <t>A 69013-2018</t>
        </is>
      </c>
      <c r="B851" s="1" t="n">
        <v>43440</v>
      </c>
      <c r="C851" s="1" t="n">
        <v>45210</v>
      </c>
      <c r="D851" t="inlineStr">
        <is>
          <t>DALARNAS LÄN</t>
        </is>
      </c>
      <c r="E851" t="inlineStr">
        <is>
          <t>MORA</t>
        </is>
      </c>
      <c r="G851" t="n">
        <v>3.4</v>
      </c>
      <c r="H851" t="n">
        <v>0</v>
      </c>
      <c r="I851" t="n">
        <v>0</v>
      </c>
      <c r="J851" t="n">
        <v>0</v>
      </c>
      <c r="K851" t="n">
        <v>0</v>
      </c>
      <c r="L851" t="n">
        <v>0</v>
      </c>
      <c r="M851" t="n">
        <v>0</v>
      </c>
      <c r="N851" t="n">
        <v>0</v>
      </c>
      <c r="O851" t="n">
        <v>0</v>
      </c>
      <c r="P851" t="n">
        <v>0</v>
      </c>
      <c r="Q851" t="n">
        <v>0</v>
      </c>
      <c r="R851" s="2" t="inlineStr"/>
    </row>
    <row r="852" ht="15" customHeight="1">
      <c r="A852" t="inlineStr">
        <is>
          <t>A 67823-2018</t>
        </is>
      </c>
      <c r="B852" s="1" t="n">
        <v>43440</v>
      </c>
      <c r="C852" s="1" t="n">
        <v>45210</v>
      </c>
      <c r="D852" t="inlineStr">
        <is>
          <t>DALARNAS LÄN</t>
        </is>
      </c>
      <c r="E852" t="inlineStr">
        <is>
          <t>HEDEMORA</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69049-2018</t>
        </is>
      </c>
      <c r="B853" s="1" t="n">
        <v>43440</v>
      </c>
      <c r="C853" s="1" t="n">
        <v>45210</v>
      </c>
      <c r="D853" t="inlineStr">
        <is>
          <t>DALARNAS LÄN</t>
        </is>
      </c>
      <c r="E853" t="inlineStr">
        <is>
          <t>LEKSAND</t>
        </is>
      </c>
      <c r="G853" t="n">
        <v>1.4</v>
      </c>
      <c r="H853" t="n">
        <v>0</v>
      </c>
      <c r="I853" t="n">
        <v>0</v>
      </c>
      <c r="J853" t="n">
        <v>0</v>
      </c>
      <c r="K853" t="n">
        <v>0</v>
      </c>
      <c r="L853" t="n">
        <v>0</v>
      </c>
      <c r="M853" t="n">
        <v>0</v>
      </c>
      <c r="N853" t="n">
        <v>0</v>
      </c>
      <c r="O853" t="n">
        <v>0</v>
      </c>
      <c r="P853" t="n">
        <v>0</v>
      </c>
      <c r="Q853" t="n">
        <v>0</v>
      </c>
      <c r="R853" s="2" t="inlineStr"/>
    </row>
    <row r="854" ht="15" customHeight="1">
      <c r="A854" t="inlineStr">
        <is>
          <t>A 67647-2018</t>
        </is>
      </c>
      <c r="B854" s="1" t="n">
        <v>43440</v>
      </c>
      <c r="C854" s="1" t="n">
        <v>45210</v>
      </c>
      <c r="D854" t="inlineStr">
        <is>
          <t>DALARNAS LÄN</t>
        </is>
      </c>
      <c r="E854" t="inlineStr">
        <is>
          <t>MORA</t>
        </is>
      </c>
      <c r="G854" t="n">
        <v>10.1</v>
      </c>
      <c r="H854" t="n">
        <v>0</v>
      </c>
      <c r="I854" t="n">
        <v>0</v>
      </c>
      <c r="J854" t="n">
        <v>0</v>
      </c>
      <c r="K854" t="n">
        <v>0</v>
      </c>
      <c r="L854" t="n">
        <v>0</v>
      </c>
      <c r="M854" t="n">
        <v>0</v>
      </c>
      <c r="N854" t="n">
        <v>0</v>
      </c>
      <c r="O854" t="n">
        <v>0</v>
      </c>
      <c r="P854" t="n">
        <v>0</v>
      </c>
      <c r="Q854" t="n">
        <v>0</v>
      </c>
      <c r="R854" s="2" t="inlineStr"/>
    </row>
    <row r="855" ht="15" customHeight="1">
      <c r="A855" t="inlineStr">
        <is>
          <t>A 68040-2018</t>
        </is>
      </c>
      <c r="B855" s="1" t="n">
        <v>43441</v>
      </c>
      <c r="C855" s="1" t="n">
        <v>45210</v>
      </c>
      <c r="D855" t="inlineStr">
        <is>
          <t>DALARNAS LÄN</t>
        </is>
      </c>
      <c r="E855" t="inlineStr">
        <is>
          <t>RÄTTVIK</t>
        </is>
      </c>
      <c r="G855" t="n">
        <v>0.8</v>
      </c>
      <c r="H855" t="n">
        <v>0</v>
      </c>
      <c r="I855" t="n">
        <v>0</v>
      </c>
      <c r="J855" t="n">
        <v>0</v>
      </c>
      <c r="K855" t="n">
        <v>0</v>
      </c>
      <c r="L855" t="n">
        <v>0</v>
      </c>
      <c r="M855" t="n">
        <v>0</v>
      </c>
      <c r="N855" t="n">
        <v>0</v>
      </c>
      <c r="O855" t="n">
        <v>0</v>
      </c>
      <c r="P855" t="n">
        <v>0</v>
      </c>
      <c r="Q855" t="n">
        <v>0</v>
      </c>
      <c r="R855" s="2" t="inlineStr"/>
    </row>
    <row r="856" ht="15" customHeight="1">
      <c r="A856" t="inlineStr">
        <is>
          <t>A 69061-2018</t>
        </is>
      </c>
      <c r="B856" s="1" t="n">
        <v>43441</v>
      </c>
      <c r="C856" s="1" t="n">
        <v>45210</v>
      </c>
      <c r="D856" t="inlineStr">
        <is>
          <t>DALARNAS LÄN</t>
        </is>
      </c>
      <c r="E856" t="inlineStr">
        <is>
          <t>LEKSAND</t>
        </is>
      </c>
      <c r="G856" t="n">
        <v>2.3</v>
      </c>
      <c r="H856" t="n">
        <v>0</v>
      </c>
      <c r="I856" t="n">
        <v>0</v>
      </c>
      <c r="J856" t="n">
        <v>0</v>
      </c>
      <c r="K856" t="n">
        <v>0</v>
      </c>
      <c r="L856" t="n">
        <v>0</v>
      </c>
      <c r="M856" t="n">
        <v>0</v>
      </c>
      <c r="N856" t="n">
        <v>0</v>
      </c>
      <c r="O856" t="n">
        <v>0</v>
      </c>
      <c r="P856" t="n">
        <v>0</v>
      </c>
      <c r="Q856" t="n">
        <v>0</v>
      </c>
      <c r="R856" s="2" t="inlineStr"/>
    </row>
    <row r="857" ht="15" customHeight="1">
      <c r="A857" t="inlineStr">
        <is>
          <t>A 68499-2018</t>
        </is>
      </c>
      <c r="B857" s="1" t="n">
        <v>43443</v>
      </c>
      <c r="C857" s="1" t="n">
        <v>45210</v>
      </c>
      <c r="D857" t="inlineStr">
        <is>
          <t>DALARNAS LÄN</t>
        </is>
      </c>
      <c r="E857" t="inlineStr">
        <is>
          <t>MALUNG-SÄLEN</t>
        </is>
      </c>
      <c r="G857" t="n">
        <v>2.1</v>
      </c>
      <c r="H857" t="n">
        <v>0</v>
      </c>
      <c r="I857" t="n">
        <v>0</v>
      </c>
      <c r="J857" t="n">
        <v>0</v>
      </c>
      <c r="K857" t="n">
        <v>0</v>
      </c>
      <c r="L857" t="n">
        <v>0</v>
      </c>
      <c r="M857" t="n">
        <v>0</v>
      </c>
      <c r="N857" t="n">
        <v>0</v>
      </c>
      <c r="O857" t="n">
        <v>0</v>
      </c>
      <c r="P857" t="n">
        <v>0</v>
      </c>
      <c r="Q857" t="n">
        <v>0</v>
      </c>
      <c r="R857" s="2" t="inlineStr"/>
    </row>
    <row r="858" ht="15" customHeight="1">
      <c r="A858" t="inlineStr">
        <is>
          <t>A 69676-2018</t>
        </is>
      </c>
      <c r="B858" s="1" t="n">
        <v>43444</v>
      </c>
      <c r="C858" s="1" t="n">
        <v>45210</v>
      </c>
      <c r="D858" t="inlineStr">
        <is>
          <t>DALARNAS LÄN</t>
        </is>
      </c>
      <c r="E858" t="inlineStr">
        <is>
          <t>HEDEMORA</t>
        </is>
      </c>
      <c r="G858" t="n">
        <v>1.6</v>
      </c>
      <c r="H858" t="n">
        <v>0</v>
      </c>
      <c r="I858" t="n">
        <v>0</v>
      </c>
      <c r="J858" t="n">
        <v>0</v>
      </c>
      <c r="K858" t="n">
        <v>0</v>
      </c>
      <c r="L858" t="n">
        <v>0</v>
      </c>
      <c r="M858" t="n">
        <v>0</v>
      </c>
      <c r="N858" t="n">
        <v>0</v>
      </c>
      <c r="O858" t="n">
        <v>0</v>
      </c>
      <c r="P858" t="n">
        <v>0</v>
      </c>
      <c r="Q858" t="n">
        <v>0</v>
      </c>
      <c r="R858" s="2" t="inlineStr"/>
    </row>
    <row r="859" ht="15" customHeight="1">
      <c r="A859" t="inlineStr">
        <is>
          <t>A 68795-2018</t>
        </is>
      </c>
      <c r="B859" s="1" t="n">
        <v>43444</v>
      </c>
      <c r="C859" s="1" t="n">
        <v>45210</v>
      </c>
      <c r="D859" t="inlineStr">
        <is>
          <t>DALARNAS LÄN</t>
        </is>
      </c>
      <c r="E859" t="inlineStr">
        <is>
          <t>ÄLVDALEN</t>
        </is>
      </c>
      <c r="G859" t="n">
        <v>0.4</v>
      </c>
      <c r="H859" t="n">
        <v>0</v>
      </c>
      <c r="I859" t="n">
        <v>0</v>
      </c>
      <c r="J859" t="n">
        <v>0</v>
      </c>
      <c r="K859" t="n">
        <v>0</v>
      </c>
      <c r="L859" t="n">
        <v>0</v>
      </c>
      <c r="M859" t="n">
        <v>0</v>
      </c>
      <c r="N859" t="n">
        <v>0</v>
      </c>
      <c r="O859" t="n">
        <v>0</v>
      </c>
      <c r="P859" t="n">
        <v>0</v>
      </c>
      <c r="Q859" t="n">
        <v>0</v>
      </c>
      <c r="R859" s="2" t="inlineStr"/>
    </row>
    <row r="860" ht="15" customHeight="1">
      <c r="A860" t="inlineStr">
        <is>
          <t>A 68814-2018</t>
        </is>
      </c>
      <c r="B860" s="1" t="n">
        <v>43444</v>
      </c>
      <c r="C860" s="1" t="n">
        <v>45210</v>
      </c>
      <c r="D860" t="inlineStr">
        <is>
          <t>DALARNAS LÄN</t>
        </is>
      </c>
      <c r="E860" t="inlineStr">
        <is>
          <t>GAGNEF</t>
        </is>
      </c>
      <c r="G860" t="n">
        <v>0.4</v>
      </c>
      <c r="H860" t="n">
        <v>0</v>
      </c>
      <c r="I860" t="n">
        <v>0</v>
      </c>
      <c r="J860" t="n">
        <v>0</v>
      </c>
      <c r="K860" t="n">
        <v>0</v>
      </c>
      <c r="L860" t="n">
        <v>0</v>
      </c>
      <c r="M860" t="n">
        <v>0</v>
      </c>
      <c r="N860" t="n">
        <v>0</v>
      </c>
      <c r="O860" t="n">
        <v>0</v>
      </c>
      <c r="P860" t="n">
        <v>0</v>
      </c>
      <c r="Q860" t="n">
        <v>0</v>
      </c>
      <c r="R860" s="2" t="inlineStr"/>
    </row>
    <row r="861" ht="15" customHeight="1">
      <c r="A861" t="inlineStr">
        <is>
          <t>A 68788-2018</t>
        </is>
      </c>
      <c r="B861" s="1" t="n">
        <v>43444</v>
      </c>
      <c r="C861" s="1" t="n">
        <v>45210</v>
      </c>
      <c r="D861" t="inlineStr">
        <is>
          <t>DALARNAS LÄN</t>
        </is>
      </c>
      <c r="E861" t="inlineStr">
        <is>
          <t>ÄLVDALEN</t>
        </is>
      </c>
      <c r="G861" t="n">
        <v>6.5</v>
      </c>
      <c r="H861" t="n">
        <v>0</v>
      </c>
      <c r="I861" t="n">
        <v>0</v>
      </c>
      <c r="J861" t="n">
        <v>0</v>
      </c>
      <c r="K861" t="n">
        <v>0</v>
      </c>
      <c r="L861" t="n">
        <v>0</v>
      </c>
      <c r="M861" t="n">
        <v>0</v>
      </c>
      <c r="N861" t="n">
        <v>0</v>
      </c>
      <c r="O861" t="n">
        <v>0</v>
      </c>
      <c r="P861" t="n">
        <v>0</v>
      </c>
      <c r="Q861" t="n">
        <v>0</v>
      </c>
      <c r="R861" s="2" t="inlineStr"/>
    </row>
    <row r="862" ht="15" customHeight="1">
      <c r="A862" t="inlineStr">
        <is>
          <t>A 68678-2018</t>
        </is>
      </c>
      <c r="B862" s="1" t="n">
        <v>43444</v>
      </c>
      <c r="C862" s="1" t="n">
        <v>45210</v>
      </c>
      <c r="D862" t="inlineStr">
        <is>
          <t>DALARNAS LÄN</t>
        </is>
      </c>
      <c r="E862" t="inlineStr">
        <is>
          <t>SMEDJEBACKEN</t>
        </is>
      </c>
      <c r="F862" t="inlineStr">
        <is>
          <t>Bergvik skog väst AB</t>
        </is>
      </c>
      <c r="G862" t="n">
        <v>2.2</v>
      </c>
      <c r="H862" t="n">
        <v>0</v>
      </c>
      <c r="I862" t="n">
        <v>0</v>
      </c>
      <c r="J862" t="n">
        <v>0</v>
      </c>
      <c r="K862" t="n">
        <v>0</v>
      </c>
      <c r="L862" t="n">
        <v>0</v>
      </c>
      <c r="M862" t="n">
        <v>0</v>
      </c>
      <c r="N862" t="n">
        <v>0</v>
      </c>
      <c r="O862" t="n">
        <v>0</v>
      </c>
      <c r="P862" t="n">
        <v>0</v>
      </c>
      <c r="Q862" t="n">
        <v>0</v>
      </c>
      <c r="R862" s="2" t="inlineStr"/>
    </row>
    <row r="863" ht="15" customHeight="1">
      <c r="A863" t="inlineStr">
        <is>
          <t>A 68756-2018</t>
        </is>
      </c>
      <c r="B863" s="1" t="n">
        <v>43444</v>
      </c>
      <c r="C863" s="1" t="n">
        <v>45210</v>
      </c>
      <c r="D863" t="inlineStr">
        <is>
          <t>DALARNAS LÄN</t>
        </is>
      </c>
      <c r="E863" t="inlineStr">
        <is>
          <t>MALUNG-SÄLEN</t>
        </is>
      </c>
      <c r="G863" t="n">
        <v>1.9</v>
      </c>
      <c r="H863" t="n">
        <v>0</v>
      </c>
      <c r="I863" t="n">
        <v>0</v>
      </c>
      <c r="J863" t="n">
        <v>0</v>
      </c>
      <c r="K863" t="n">
        <v>0</v>
      </c>
      <c r="L863" t="n">
        <v>0</v>
      </c>
      <c r="M863" t="n">
        <v>0</v>
      </c>
      <c r="N863" t="n">
        <v>0</v>
      </c>
      <c r="O863" t="n">
        <v>0</v>
      </c>
      <c r="P863" t="n">
        <v>0</v>
      </c>
      <c r="Q863" t="n">
        <v>0</v>
      </c>
      <c r="R863" s="2" t="inlineStr"/>
    </row>
    <row r="864" ht="15" customHeight="1">
      <c r="A864" t="inlineStr">
        <is>
          <t>A 69674-2018</t>
        </is>
      </c>
      <c r="B864" s="1" t="n">
        <v>43444</v>
      </c>
      <c r="C864" s="1" t="n">
        <v>45210</v>
      </c>
      <c r="D864" t="inlineStr">
        <is>
          <t>DALARNAS LÄN</t>
        </is>
      </c>
      <c r="E864" t="inlineStr">
        <is>
          <t>AVESTA</t>
        </is>
      </c>
      <c r="G864" t="n">
        <v>1.7</v>
      </c>
      <c r="H864" t="n">
        <v>0</v>
      </c>
      <c r="I864" t="n">
        <v>0</v>
      </c>
      <c r="J864" t="n">
        <v>0</v>
      </c>
      <c r="K864" t="n">
        <v>0</v>
      </c>
      <c r="L864" t="n">
        <v>0</v>
      </c>
      <c r="M864" t="n">
        <v>0</v>
      </c>
      <c r="N864" t="n">
        <v>0</v>
      </c>
      <c r="O864" t="n">
        <v>0</v>
      </c>
      <c r="P864" t="n">
        <v>0</v>
      </c>
      <c r="Q864" t="n">
        <v>0</v>
      </c>
      <c r="R864" s="2" t="inlineStr"/>
    </row>
    <row r="865" ht="15" customHeight="1">
      <c r="A865" t="inlineStr">
        <is>
          <t>A 68967-2018</t>
        </is>
      </c>
      <c r="B865" s="1" t="n">
        <v>43445</v>
      </c>
      <c r="C865" s="1" t="n">
        <v>45210</v>
      </c>
      <c r="D865" t="inlineStr">
        <is>
          <t>DALARNAS LÄN</t>
        </is>
      </c>
      <c r="E865" t="inlineStr">
        <is>
          <t>VANSBRO</t>
        </is>
      </c>
      <c r="G865" t="n">
        <v>10.5</v>
      </c>
      <c r="H865" t="n">
        <v>0</v>
      </c>
      <c r="I865" t="n">
        <v>0</v>
      </c>
      <c r="J865" t="n">
        <v>0</v>
      </c>
      <c r="K865" t="n">
        <v>0</v>
      </c>
      <c r="L865" t="n">
        <v>0</v>
      </c>
      <c r="M865" t="n">
        <v>0</v>
      </c>
      <c r="N865" t="n">
        <v>0</v>
      </c>
      <c r="O865" t="n">
        <v>0</v>
      </c>
      <c r="P865" t="n">
        <v>0</v>
      </c>
      <c r="Q865" t="n">
        <v>0</v>
      </c>
      <c r="R865" s="2" t="inlineStr"/>
    </row>
    <row r="866" ht="15" customHeight="1">
      <c r="A866" t="inlineStr">
        <is>
          <t>A 68981-2018</t>
        </is>
      </c>
      <c r="B866" s="1" t="n">
        <v>43445</v>
      </c>
      <c r="C866" s="1" t="n">
        <v>45210</v>
      </c>
      <c r="D866" t="inlineStr">
        <is>
          <t>DALARNAS LÄN</t>
        </is>
      </c>
      <c r="E866" t="inlineStr">
        <is>
          <t>VANSBRO</t>
        </is>
      </c>
      <c r="G866" t="n">
        <v>1.7</v>
      </c>
      <c r="H866" t="n">
        <v>0</v>
      </c>
      <c r="I866" t="n">
        <v>0</v>
      </c>
      <c r="J866" t="n">
        <v>0</v>
      </c>
      <c r="K866" t="n">
        <v>0</v>
      </c>
      <c r="L866" t="n">
        <v>0</v>
      </c>
      <c r="M866" t="n">
        <v>0</v>
      </c>
      <c r="N866" t="n">
        <v>0</v>
      </c>
      <c r="O866" t="n">
        <v>0</v>
      </c>
      <c r="P866" t="n">
        <v>0</v>
      </c>
      <c r="Q866" t="n">
        <v>0</v>
      </c>
      <c r="R866" s="2" t="inlineStr"/>
    </row>
    <row r="867" ht="15" customHeight="1">
      <c r="A867" t="inlineStr">
        <is>
          <t>A 69208-2018</t>
        </is>
      </c>
      <c r="B867" s="1" t="n">
        <v>43445</v>
      </c>
      <c r="C867" s="1" t="n">
        <v>45210</v>
      </c>
      <c r="D867" t="inlineStr">
        <is>
          <t>DALARNAS LÄN</t>
        </is>
      </c>
      <c r="E867" t="inlineStr">
        <is>
          <t>MALUNG-SÄLEN</t>
        </is>
      </c>
      <c r="F867" t="inlineStr">
        <is>
          <t>Bergvik skog öst AB</t>
        </is>
      </c>
      <c r="G867" t="n">
        <v>3.6</v>
      </c>
      <c r="H867" t="n">
        <v>0</v>
      </c>
      <c r="I867" t="n">
        <v>0</v>
      </c>
      <c r="J867" t="n">
        <v>0</v>
      </c>
      <c r="K867" t="n">
        <v>0</v>
      </c>
      <c r="L867" t="n">
        <v>0</v>
      </c>
      <c r="M867" t="n">
        <v>0</v>
      </c>
      <c r="N867" t="n">
        <v>0</v>
      </c>
      <c r="O867" t="n">
        <v>0</v>
      </c>
      <c r="P867" t="n">
        <v>0</v>
      </c>
      <c r="Q867" t="n">
        <v>0</v>
      </c>
      <c r="R867" s="2" t="inlineStr"/>
    </row>
    <row r="868" ht="15" customHeight="1">
      <c r="A868" t="inlineStr">
        <is>
          <t>A 69240-2018</t>
        </is>
      </c>
      <c r="B868" s="1" t="n">
        <v>43445</v>
      </c>
      <c r="C868" s="1" t="n">
        <v>45210</v>
      </c>
      <c r="D868" t="inlineStr">
        <is>
          <t>DALARNAS LÄN</t>
        </is>
      </c>
      <c r="E868" t="inlineStr">
        <is>
          <t>FALUN</t>
        </is>
      </c>
      <c r="G868" t="n">
        <v>1.6</v>
      </c>
      <c r="H868" t="n">
        <v>0</v>
      </c>
      <c r="I868" t="n">
        <v>0</v>
      </c>
      <c r="J868" t="n">
        <v>0</v>
      </c>
      <c r="K868" t="n">
        <v>0</v>
      </c>
      <c r="L868" t="n">
        <v>0</v>
      </c>
      <c r="M868" t="n">
        <v>0</v>
      </c>
      <c r="N868" t="n">
        <v>0</v>
      </c>
      <c r="O868" t="n">
        <v>0</v>
      </c>
      <c r="P868" t="n">
        <v>0</v>
      </c>
      <c r="Q868" t="n">
        <v>0</v>
      </c>
      <c r="R868" s="2" t="inlineStr"/>
    </row>
    <row r="869" ht="15" customHeight="1">
      <c r="A869" t="inlineStr">
        <is>
          <t>A 69289-2018</t>
        </is>
      </c>
      <c r="B869" s="1" t="n">
        <v>43446</v>
      </c>
      <c r="C869" s="1" t="n">
        <v>45210</v>
      </c>
      <c r="D869" t="inlineStr">
        <is>
          <t>DALARNAS LÄN</t>
        </is>
      </c>
      <c r="E869" t="inlineStr">
        <is>
          <t>SMEDJEBACKEN</t>
        </is>
      </c>
      <c r="F869" t="inlineStr">
        <is>
          <t>Bergvik skog väst AB</t>
        </is>
      </c>
      <c r="G869" t="n">
        <v>2.9</v>
      </c>
      <c r="H869" t="n">
        <v>0</v>
      </c>
      <c r="I869" t="n">
        <v>0</v>
      </c>
      <c r="J869" t="n">
        <v>0</v>
      </c>
      <c r="K869" t="n">
        <v>0</v>
      </c>
      <c r="L869" t="n">
        <v>0</v>
      </c>
      <c r="M869" t="n">
        <v>0</v>
      </c>
      <c r="N869" t="n">
        <v>0</v>
      </c>
      <c r="O869" t="n">
        <v>0</v>
      </c>
      <c r="P869" t="n">
        <v>0</v>
      </c>
      <c r="Q869" t="n">
        <v>0</v>
      </c>
      <c r="R869" s="2" t="inlineStr"/>
    </row>
    <row r="870" ht="15" customHeight="1">
      <c r="A870" t="inlineStr">
        <is>
          <t>A 69418-2018</t>
        </is>
      </c>
      <c r="B870" s="1" t="n">
        <v>43446</v>
      </c>
      <c r="C870" s="1" t="n">
        <v>45210</v>
      </c>
      <c r="D870" t="inlineStr">
        <is>
          <t>DALARNAS LÄN</t>
        </is>
      </c>
      <c r="E870" t="inlineStr">
        <is>
          <t>FALUN</t>
        </is>
      </c>
      <c r="G870" t="n">
        <v>5.8</v>
      </c>
      <c r="H870" t="n">
        <v>0</v>
      </c>
      <c r="I870" t="n">
        <v>0</v>
      </c>
      <c r="J870" t="n">
        <v>0</v>
      </c>
      <c r="K870" t="n">
        <v>0</v>
      </c>
      <c r="L870" t="n">
        <v>0</v>
      </c>
      <c r="M870" t="n">
        <v>0</v>
      </c>
      <c r="N870" t="n">
        <v>0</v>
      </c>
      <c r="O870" t="n">
        <v>0</v>
      </c>
      <c r="P870" t="n">
        <v>0</v>
      </c>
      <c r="Q870" t="n">
        <v>0</v>
      </c>
      <c r="R870" s="2" t="inlineStr"/>
    </row>
    <row r="871" ht="15" customHeight="1">
      <c r="A871" t="inlineStr">
        <is>
          <t>A 70418-2018</t>
        </is>
      </c>
      <c r="B871" s="1" t="n">
        <v>43446</v>
      </c>
      <c r="C871" s="1" t="n">
        <v>45210</v>
      </c>
      <c r="D871" t="inlineStr">
        <is>
          <t>DALARNAS LÄN</t>
        </is>
      </c>
      <c r="E871" t="inlineStr">
        <is>
          <t>FALUN</t>
        </is>
      </c>
      <c r="G871" t="n">
        <v>1.4</v>
      </c>
      <c r="H871" t="n">
        <v>0</v>
      </c>
      <c r="I871" t="n">
        <v>0</v>
      </c>
      <c r="J871" t="n">
        <v>0</v>
      </c>
      <c r="K871" t="n">
        <v>0</v>
      </c>
      <c r="L871" t="n">
        <v>0</v>
      </c>
      <c r="M871" t="n">
        <v>0</v>
      </c>
      <c r="N871" t="n">
        <v>0</v>
      </c>
      <c r="O871" t="n">
        <v>0</v>
      </c>
      <c r="P871" t="n">
        <v>0</v>
      </c>
      <c r="Q871" t="n">
        <v>0</v>
      </c>
      <c r="R871" s="2" t="inlineStr"/>
    </row>
    <row r="872" ht="15" customHeight="1">
      <c r="A872" t="inlineStr">
        <is>
          <t>A 69780-2018</t>
        </is>
      </c>
      <c r="B872" s="1" t="n">
        <v>43447</v>
      </c>
      <c r="C872" s="1" t="n">
        <v>45210</v>
      </c>
      <c r="D872" t="inlineStr">
        <is>
          <t>DALARNAS LÄN</t>
        </is>
      </c>
      <c r="E872" t="inlineStr">
        <is>
          <t>MORA</t>
        </is>
      </c>
      <c r="G872" t="n">
        <v>2.3</v>
      </c>
      <c r="H872" t="n">
        <v>0</v>
      </c>
      <c r="I872" t="n">
        <v>0</v>
      </c>
      <c r="J872" t="n">
        <v>0</v>
      </c>
      <c r="K872" t="n">
        <v>0</v>
      </c>
      <c r="L872" t="n">
        <v>0</v>
      </c>
      <c r="M872" t="n">
        <v>0</v>
      </c>
      <c r="N872" t="n">
        <v>0</v>
      </c>
      <c r="O872" t="n">
        <v>0</v>
      </c>
      <c r="P872" t="n">
        <v>0</v>
      </c>
      <c r="Q872" t="n">
        <v>0</v>
      </c>
      <c r="R872" s="2" t="inlineStr"/>
    </row>
    <row r="873" ht="15" customHeight="1">
      <c r="A873" t="inlineStr">
        <is>
          <t>A 69897-2018</t>
        </is>
      </c>
      <c r="B873" s="1" t="n">
        <v>43447</v>
      </c>
      <c r="C873" s="1" t="n">
        <v>45210</v>
      </c>
      <c r="D873" t="inlineStr">
        <is>
          <t>DALARNAS LÄN</t>
        </is>
      </c>
      <c r="E873" t="inlineStr">
        <is>
          <t>LEKSAND</t>
        </is>
      </c>
      <c r="G873" t="n">
        <v>1</v>
      </c>
      <c r="H873" t="n">
        <v>0</v>
      </c>
      <c r="I873" t="n">
        <v>0</v>
      </c>
      <c r="J873" t="n">
        <v>0</v>
      </c>
      <c r="K873" t="n">
        <v>0</v>
      </c>
      <c r="L873" t="n">
        <v>0</v>
      </c>
      <c r="M873" t="n">
        <v>0</v>
      </c>
      <c r="N873" t="n">
        <v>0</v>
      </c>
      <c r="O873" t="n">
        <v>0</v>
      </c>
      <c r="P873" t="n">
        <v>0</v>
      </c>
      <c r="Q873" t="n">
        <v>0</v>
      </c>
      <c r="R873" s="2" t="inlineStr"/>
    </row>
    <row r="874" ht="15" customHeight="1">
      <c r="A874" t="inlineStr">
        <is>
          <t>A 69942-2018</t>
        </is>
      </c>
      <c r="B874" s="1" t="n">
        <v>43447</v>
      </c>
      <c r="C874" s="1" t="n">
        <v>45210</v>
      </c>
      <c r="D874" t="inlineStr">
        <is>
          <t>DALARNAS LÄN</t>
        </is>
      </c>
      <c r="E874" t="inlineStr">
        <is>
          <t>BORLÄNGE</t>
        </is>
      </c>
      <c r="G874" t="n">
        <v>0.7</v>
      </c>
      <c r="H874" t="n">
        <v>0</v>
      </c>
      <c r="I874" t="n">
        <v>0</v>
      </c>
      <c r="J874" t="n">
        <v>0</v>
      </c>
      <c r="K874" t="n">
        <v>0</v>
      </c>
      <c r="L874" t="n">
        <v>0</v>
      </c>
      <c r="M874" t="n">
        <v>0</v>
      </c>
      <c r="N874" t="n">
        <v>0</v>
      </c>
      <c r="O874" t="n">
        <v>0</v>
      </c>
      <c r="P874" t="n">
        <v>0</v>
      </c>
      <c r="Q874" t="n">
        <v>0</v>
      </c>
      <c r="R874" s="2" t="inlineStr"/>
    </row>
    <row r="875" ht="15" customHeight="1">
      <c r="A875" t="inlineStr">
        <is>
          <t>A 69893-2018</t>
        </is>
      </c>
      <c r="B875" s="1" t="n">
        <v>43447</v>
      </c>
      <c r="C875" s="1" t="n">
        <v>45210</v>
      </c>
      <c r="D875" t="inlineStr">
        <is>
          <t>DALARNAS LÄN</t>
        </is>
      </c>
      <c r="E875" t="inlineStr">
        <is>
          <t>GAGNEF</t>
        </is>
      </c>
      <c r="F875" t="inlineStr">
        <is>
          <t>Bergvik skog väst AB</t>
        </is>
      </c>
      <c r="G875" t="n">
        <v>1.8</v>
      </c>
      <c r="H875" t="n">
        <v>0</v>
      </c>
      <c r="I875" t="n">
        <v>0</v>
      </c>
      <c r="J875" t="n">
        <v>0</v>
      </c>
      <c r="K875" t="n">
        <v>0</v>
      </c>
      <c r="L875" t="n">
        <v>0</v>
      </c>
      <c r="M875" t="n">
        <v>0</v>
      </c>
      <c r="N875" t="n">
        <v>0</v>
      </c>
      <c r="O875" t="n">
        <v>0</v>
      </c>
      <c r="P875" t="n">
        <v>0</v>
      </c>
      <c r="Q875" t="n">
        <v>0</v>
      </c>
      <c r="R875" s="2" t="inlineStr"/>
    </row>
    <row r="876" ht="15" customHeight="1">
      <c r="A876" t="inlineStr">
        <is>
          <t>A 70466-2018</t>
        </is>
      </c>
      <c r="B876" s="1" t="n">
        <v>43447</v>
      </c>
      <c r="C876" s="1" t="n">
        <v>45210</v>
      </c>
      <c r="D876" t="inlineStr">
        <is>
          <t>DALARNAS LÄN</t>
        </is>
      </c>
      <c r="E876" t="inlineStr">
        <is>
          <t>AVESTA</t>
        </is>
      </c>
      <c r="G876" t="n">
        <v>0.4</v>
      </c>
      <c r="H876" t="n">
        <v>0</v>
      </c>
      <c r="I876" t="n">
        <v>0</v>
      </c>
      <c r="J876" t="n">
        <v>0</v>
      </c>
      <c r="K876" t="n">
        <v>0</v>
      </c>
      <c r="L876" t="n">
        <v>0</v>
      </c>
      <c r="M876" t="n">
        <v>0</v>
      </c>
      <c r="N876" t="n">
        <v>0</v>
      </c>
      <c r="O876" t="n">
        <v>0</v>
      </c>
      <c r="P876" t="n">
        <v>0</v>
      </c>
      <c r="Q876" t="n">
        <v>0</v>
      </c>
      <c r="R876" s="2" t="inlineStr"/>
    </row>
    <row r="877" ht="15" customHeight="1">
      <c r="A877" t="inlineStr">
        <is>
          <t>A 70530-2018</t>
        </is>
      </c>
      <c r="B877" s="1" t="n">
        <v>43447</v>
      </c>
      <c r="C877" s="1" t="n">
        <v>45210</v>
      </c>
      <c r="D877" t="inlineStr">
        <is>
          <t>DALARNAS LÄN</t>
        </is>
      </c>
      <c r="E877" t="inlineStr">
        <is>
          <t>RÄTTVIK</t>
        </is>
      </c>
      <c r="G877" t="n">
        <v>0.6</v>
      </c>
      <c r="H877" t="n">
        <v>0</v>
      </c>
      <c r="I877" t="n">
        <v>0</v>
      </c>
      <c r="J877" t="n">
        <v>0</v>
      </c>
      <c r="K877" t="n">
        <v>0</v>
      </c>
      <c r="L877" t="n">
        <v>0</v>
      </c>
      <c r="M877" t="n">
        <v>0</v>
      </c>
      <c r="N877" t="n">
        <v>0</v>
      </c>
      <c r="O877" t="n">
        <v>0</v>
      </c>
      <c r="P877" t="n">
        <v>0</v>
      </c>
      <c r="Q877" t="n">
        <v>0</v>
      </c>
      <c r="R877" s="2" t="inlineStr"/>
    </row>
    <row r="878" ht="15" customHeight="1">
      <c r="A878" t="inlineStr">
        <is>
          <t>A 69878-2018</t>
        </is>
      </c>
      <c r="B878" s="1" t="n">
        <v>43447</v>
      </c>
      <c r="C878" s="1" t="n">
        <v>45210</v>
      </c>
      <c r="D878" t="inlineStr">
        <is>
          <t>DALARNAS LÄN</t>
        </is>
      </c>
      <c r="E878" t="inlineStr">
        <is>
          <t>LUDVIKA</t>
        </is>
      </c>
      <c r="G878" t="n">
        <v>1.9</v>
      </c>
      <c r="H878" t="n">
        <v>0</v>
      </c>
      <c r="I878" t="n">
        <v>0</v>
      </c>
      <c r="J878" t="n">
        <v>0</v>
      </c>
      <c r="K878" t="n">
        <v>0</v>
      </c>
      <c r="L878" t="n">
        <v>0</v>
      </c>
      <c r="M878" t="n">
        <v>0</v>
      </c>
      <c r="N878" t="n">
        <v>0</v>
      </c>
      <c r="O878" t="n">
        <v>0</v>
      </c>
      <c r="P878" t="n">
        <v>0</v>
      </c>
      <c r="Q878" t="n">
        <v>0</v>
      </c>
      <c r="R878" s="2" t="inlineStr"/>
    </row>
    <row r="879" ht="15" customHeight="1">
      <c r="A879" t="inlineStr">
        <is>
          <t>A 70110-2018</t>
        </is>
      </c>
      <c r="B879" s="1" t="n">
        <v>43448</v>
      </c>
      <c r="C879" s="1" t="n">
        <v>45210</v>
      </c>
      <c r="D879" t="inlineStr">
        <is>
          <t>DALARNAS LÄN</t>
        </is>
      </c>
      <c r="E879" t="inlineStr">
        <is>
          <t>BORLÄNGE</t>
        </is>
      </c>
      <c r="G879" t="n">
        <v>11.9</v>
      </c>
      <c r="H879" t="n">
        <v>0</v>
      </c>
      <c r="I879" t="n">
        <v>0</v>
      </c>
      <c r="J879" t="n">
        <v>0</v>
      </c>
      <c r="K879" t="n">
        <v>0</v>
      </c>
      <c r="L879" t="n">
        <v>0</v>
      </c>
      <c r="M879" t="n">
        <v>0</v>
      </c>
      <c r="N879" t="n">
        <v>0</v>
      </c>
      <c r="O879" t="n">
        <v>0</v>
      </c>
      <c r="P879" t="n">
        <v>0</v>
      </c>
      <c r="Q879" t="n">
        <v>0</v>
      </c>
      <c r="R879" s="2" t="inlineStr"/>
    </row>
    <row r="880" ht="15" customHeight="1">
      <c r="A880" t="inlineStr">
        <is>
          <t>A 70178-2018</t>
        </is>
      </c>
      <c r="B880" s="1" t="n">
        <v>43448</v>
      </c>
      <c r="C880" s="1" t="n">
        <v>45210</v>
      </c>
      <c r="D880" t="inlineStr">
        <is>
          <t>DALARNAS LÄN</t>
        </is>
      </c>
      <c r="E880" t="inlineStr">
        <is>
          <t>SMEDJEBACKEN</t>
        </is>
      </c>
      <c r="G880" t="n">
        <v>4.9</v>
      </c>
      <c r="H880" t="n">
        <v>0</v>
      </c>
      <c r="I880" t="n">
        <v>0</v>
      </c>
      <c r="J880" t="n">
        <v>0</v>
      </c>
      <c r="K880" t="n">
        <v>0</v>
      </c>
      <c r="L880" t="n">
        <v>0</v>
      </c>
      <c r="M880" t="n">
        <v>0</v>
      </c>
      <c r="N880" t="n">
        <v>0</v>
      </c>
      <c r="O880" t="n">
        <v>0</v>
      </c>
      <c r="P880" t="n">
        <v>0</v>
      </c>
      <c r="Q880" t="n">
        <v>0</v>
      </c>
      <c r="R880" s="2" t="inlineStr"/>
    </row>
    <row r="881" ht="15" customHeight="1">
      <c r="A881" t="inlineStr">
        <is>
          <t>A 70194-2018</t>
        </is>
      </c>
      <c r="B881" s="1" t="n">
        <v>43448</v>
      </c>
      <c r="C881" s="1" t="n">
        <v>45210</v>
      </c>
      <c r="D881" t="inlineStr">
        <is>
          <t>DALARNAS LÄN</t>
        </is>
      </c>
      <c r="E881" t="inlineStr">
        <is>
          <t>MALUNG-SÄLEN</t>
        </is>
      </c>
      <c r="F881" t="inlineStr">
        <is>
          <t>Kommuner</t>
        </is>
      </c>
      <c r="G881" t="n">
        <v>1.3</v>
      </c>
      <c r="H881" t="n">
        <v>0</v>
      </c>
      <c r="I881" t="n">
        <v>0</v>
      </c>
      <c r="J881" t="n">
        <v>0</v>
      </c>
      <c r="K881" t="n">
        <v>0</v>
      </c>
      <c r="L881" t="n">
        <v>0</v>
      </c>
      <c r="M881" t="n">
        <v>0</v>
      </c>
      <c r="N881" t="n">
        <v>0</v>
      </c>
      <c r="O881" t="n">
        <v>0</v>
      </c>
      <c r="P881" t="n">
        <v>0</v>
      </c>
      <c r="Q881" t="n">
        <v>0</v>
      </c>
      <c r="R881" s="2" t="inlineStr"/>
    </row>
    <row r="882" ht="15" customHeight="1">
      <c r="A882" t="inlineStr">
        <is>
          <t>A 70015-2018</t>
        </is>
      </c>
      <c r="B882" s="1" t="n">
        <v>43448</v>
      </c>
      <c r="C882" s="1" t="n">
        <v>45210</v>
      </c>
      <c r="D882" t="inlineStr">
        <is>
          <t>DALARNAS LÄN</t>
        </is>
      </c>
      <c r="E882" t="inlineStr">
        <is>
          <t>LEKSAND</t>
        </is>
      </c>
      <c r="G882" t="n">
        <v>1.2</v>
      </c>
      <c r="H882" t="n">
        <v>0</v>
      </c>
      <c r="I882" t="n">
        <v>0</v>
      </c>
      <c r="J882" t="n">
        <v>0</v>
      </c>
      <c r="K882" t="n">
        <v>0</v>
      </c>
      <c r="L882" t="n">
        <v>0</v>
      </c>
      <c r="M882" t="n">
        <v>0</v>
      </c>
      <c r="N882" t="n">
        <v>0</v>
      </c>
      <c r="O882" t="n">
        <v>0</v>
      </c>
      <c r="P882" t="n">
        <v>0</v>
      </c>
      <c r="Q882" t="n">
        <v>0</v>
      </c>
      <c r="R882" s="2" t="inlineStr"/>
    </row>
    <row r="883" ht="15" customHeight="1">
      <c r="A883" t="inlineStr">
        <is>
          <t>A 70181-2018</t>
        </is>
      </c>
      <c r="B883" s="1" t="n">
        <v>43448</v>
      </c>
      <c r="C883" s="1" t="n">
        <v>45210</v>
      </c>
      <c r="D883" t="inlineStr">
        <is>
          <t>DALARNAS LÄN</t>
        </is>
      </c>
      <c r="E883" t="inlineStr">
        <is>
          <t>MALUNG-SÄLEN</t>
        </is>
      </c>
      <c r="F883" t="inlineStr">
        <is>
          <t>Kommuner</t>
        </is>
      </c>
      <c r="G883" t="n">
        <v>3</v>
      </c>
      <c r="H883" t="n">
        <v>0</v>
      </c>
      <c r="I883" t="n">
        <v>0</v>
      </c>
      <c r="J883" t="n">
        <v>0</v>
      </c>
      <c r="K883" t="n">
        <v>0</v>
      </c>
      <c r="L883" t="n">
        <v>0</v>
      </c>
      <c r="M883" t="n">
        <v>0</v>
      </c>
      <c r="N883" t="n">
        <v>0</v>
      </c>
      <c r="O883" t="n">
        <v>0</v>
      </c>
      <c r="P883" t="n">
        <v>0</v>
      </c>
      <c r="Q883" t="n">
        <v>0</v>
      </c>
      <c r="R883" s="2" t="inlineStr"/>
    </row>
    <row r="884" ht="15" customHeight="1">
      <c r="A884" t="inlineStr">
        <is>
          <t>A 70199-2018</t>
        </is>
      </c>
      <c r="B884" s="1" t="n">
        <v>43448</v>
      </c>
      <c r="C884" s="1" t="n">
        <v>45210</v>
      </c>
      <c r="D884" t="inlineStr">
        <is>
          <t>DALARNAS LÄN</t>
        </is>
      </c>
      <c r="E884" t="inlineStr">
        <is>
          <t>MALUNG-SÄLEN</t>
        </is>
      </c>
      <c r="F884" t="inlineStr">
        <is>
          <t>Kommuner</t>
        </is>
      </c>
      <c r="G884" t="n">
        <v>2.2</v>
      </c>
      <c r="H884" t="n">
        <v>0</v>
      </c>
      <c r="I884" t="n">
        <v>0</v>
      </c>
      <c r="J884" t="n">
        <v>0</v>
      </c>
      <c r="K884" t="n">
        <v>0</v>
      </c>
      <c r="L884" t="n">
        <v>0</v>
      </c>
      <c r="M884" t="n">
        <v>0</v>
      </c>
      <c r="N884" t="n">
        <v>0</v>
      </c>
      <c r="O884" t="n">
        <v>0</v>
      </c>
      <c r="P884" t="n">
        <v>0</v>
      </c>
      <c r="Q884" t="n">
        <v>0</v>
      </c>
      <c r="R884" s="2" t="inlineStr"/>
    </row>
    <row r="885" ht="15" customHeight="1">
      <c r="A885" t="inlineStr">
        <is>
          <t>A 70203-2018</t>
        </is>
      </c>
      <c r="B885" s="1" t="n">
        <v>43448</v>
      </c>
      <c r="C885" s="1" t="n">
        <v>45210</v>
      </c>
      <c r="D885" t="inlineStr">
        <is>
          <t>DALARNAS LÄN</t>
        </is>
      </c>
      <c r="E885" t="inlineStr">
        <is>
          <t>MALUNG-SÄLEN</t>
        </is>
      </c>
      <c r="F885" t="inlineStr">
        <is>
          <t>Kommuner</t>
        </is>
      </c>
      <c r="G885" t="n">
        <v>0.8</v>
      </c>
      <c r="H885" t="n">
        <v>0</v>
      </c>
      <c r="I885" t="n">
        <v>0</v>
      </c>
      <c r="J885" t="n">
        <v>0</v>
      </c>
      <c r="K885" t="n">
        <v>0</v>
      </c>
      <c r="L885" t="n">
        <v>0</v>
      </c>
      <c r="M885" t="n">
        <v>0</v>
      </c>
      <c r="N885" t="n">
        <v>0</v>
      </c>
      <c r="O885" t="n">
        <v>0</v>
      </c>
      <c r="P885" t="n">
        <v>0</v>
      </c>
      <c r="Q885" t="n">
        <v>0</v>
      </c>
      <c r="R885" s="2" t="inlineStr"/>
    </row>
    <row r="886" ht="15" customHeight="1">
      <c r="A886" t="inlineStr">
        <is>
          <t>A 70207-2018</t>
        </is>
      </c>
      <c r="B886" s="1" t="n">
        <v>43448</v>
      </c>
      <c r="C886" s="1" t="n">
        <v>45210</v>
      </c>
      <c r="D886" t="inlineStr">
        <is>
          <t>DALARNAS LÄN</t>
        </is>
      </c>
      <c r="E886" t="inlineStr">
        <is>
          <t>MALUNG-SÄLEN</t>
        </is>
      </c>
      <c r="F886" t="inlineStr">
        <is>
          <t>Kommuner</t>
        </is>
      </c>
      <c r="G886" t="n">
        <v>0.7</v>
      </c>
      <c r="H886" t="n">
        <v>0</v>
      </c>
      <c r="I886" t="n">
        <v>0</v>
      </c>
      <c r="J886" t="n">
        <v>0</v>
      </c>
      <c r="K886" t="n">
        <v>0</v>
      </c>
      <c r="L886" t="n">
        <v>0</v>
      </c>
      <c r="M886" t="n">
        <v>0</v>
      </c>
      <c r="N886" t="n">
        <v>0</v>
      </c>
      <c r="O886" t="n">
        <v>0</v>
      </c>
      <c r="P886" t="n">
        <v>0</v>
      </c>
      <c r="Q886" t="n">
        <v>0</v>
      </c>
      <c r="R886" s="2" t="inlineStr"/>
    </row>
    <row r="887" ht="15" customHeight="1">
      <c r="A887" t="inlineStr">
        <is>
          <t>A 70882-2018</t>
        </is>
      </c>
      <c r="B887" s="1" t="n">
        <v>43448</v>
      </c>
      <c r="C887" s="1" t="n">
        <v>45210</v>
      </c>
      <c r="D887" t="inlineStr">
        <is>
          <t>DALARNAS LÄN</t>
        </is>
      </c>
      <c r="E887" t="inlineStr">
        <is>
          <t>RÄTTVIK</t>
        </is>
      </c>
      <c r="G887" t="n">
        <v>1.1</v>
      </c>
      <c r="H887" t="n">
        <v>0</v>
      </c>
      <c r="I887" t="n">
        <v>0</v>
      </c>
      <c r="J887" t="n">
        <v>0</v>
      </c>
      <c r="K887" t="n">
        <v>0</v>
      </c>
      <c r="L887" t="n">
        <v>0</v>
      </c>
      <c r="M887" t="n">
        <v>0</v>
      </c>
      <c r="N887" t="n">
        <v>0</v>
      </c>
      <c r="O887" t="n">
        <v>0</v>
      </c>
      <c r="P887" t="n">
        <v>0</v>
      </c>
      <c r="Q887" t="n">
        <v>0</v>
      </c>
      <c r="R887" s="2" t="inlineStr"/>
    </row>
    <row r="888" ht="15" customHeight="1">
      <c r="A888" t="inlineStr">
        <is>
          <t>A 70179-2018</t>
        </is>
      </c>
      <c r="B888" s="1" t="n">
        <v>43448</v>
      </c>
      <c r="C888" s="1" t="n">
        <v>45210</v>
      </c>
      <c r="D888" t="inlineStr">
        <is>
          <t>DALARNAS LÄN</t>
        </is>
      </c>
      <c r="E888" t="inlineStr">
        <is>
          <t>MALUNG-SÄLEN</t>
        </is>
      </c>
      <c r="F888" t="inlineStr">
        <is>
          <t>Kommuner</t>
        </is>
      </c>
      <c r="G888" t="n">
        <v>2</v>
      </c>
      <c r="H888" t="n">
        <v>0</v>
      </c>
      <c r="I888" t="n">
        <v>0</v>
      </c>
      <c r="J888" t="n">
        <v>0</v>
      </c>
      <c r="K888" t="n">
        <v>0</v>
      </c>
      <c r="L888" t="n">
        <v>0</v>
      </c>
      <c r="M888" t="n">
        <v>0</v>
      </c>
      <c r="N888" t="n">
        <v>0</v>
      </c>
      <c r="O888" t="n">
        <v>0</v>
      </c>
      <c r="P888" t="n">
        <v>0</v>
      </c>
      <c r="Q888" t="n">
        <v>0</v>
      </c>
      <c r="R888" s="2" t="inlineStr"/>
    </row>
    <row r="889" ht="15" customHeight="1">
      <c r="A889" t="inlineStr">
        <is>
          <t>A 70196-2018</t>
        </is>
      </c>
      <c r="B889" s="1" t="n">
        <v>43448</v>
      </c>
      <c r="C889" s="1" t="n">
        <v>45210</v>
      </c>
      <c r="D889" t="inlineStr">
        <is>
          <t>DALARNAS LÄN</t>
        </is>
      </c>
      <c r="E889" t="inlineStr">
        <is>
          <t>MALUNG-SÄLEN</t>
        </is>
      </c>
      <c r="F889" t="inlineStr">
        <is>
          <t>Kommuner</t>
        </is>
      </c>
      <c r="G889" t="n">
        <v>3.3</v>
      </c>
      <c r="H889" t="n">
        <v>0</v>
      </c>
      <c r="I889" t="n">
        <v>0</v>
      </c>
      <c r="J889" t="n">
        <v>0</v>
      </c>
      <c r="K889" t="n">
        <v>0</v>
      </c>
      <c r="L889" t="n">
        <v>0</v>
      </c>
      <c r="M889" t="n">
        <v>0</v>
      </c>
      <c r="N889" t="n">
        <v>0</v>
      </c>
      <c r="O889" t="n">
        <v>0</v>
      </c>
      <c r="P889" t="n">
        <v>0</v>
      </c>
      <c r="Q889" t="n">
        <v>0</v>
      </c>
      <c r="R889" s="2" t="inlineStr"/>
    </row>
    <row r="890" ht="15" customHeight="1">
      <c r="A890" t="inlineStr">
        <is>
          <t>A 70202-2018</t>
        </is>
      </c>
      <c r="B890" s="1" t="n">
        <v>43448</v>
      </c>
      <c r="C890" s="1" t="n">
        <v>45210</v>
      </c>
      <c r="D890" t="inlineStr">
        <is>
          <t>DALARNAS LÄN</t>
        </is>
      </c>
      <c r="E890" t="inlineStr">
        <is>
          <t>MALUNG-SÄLEN</t>
        </is>
      </c>
      <c r="F890" t="inlineStr">
        <is>
          <t>Kommuner</t>
        </is>
      </c>
      <c r="G890" t="n">
        <v>4.4</v>
      </c>
      <c r="H890" t="n">
        <v>0</v>
      </c>
      <c r="I890" t="n">
        <v>0</v>
      </c>
      <c r="J890" t="n">
        <v>0</v>
      </c>
      <c r="K890" t="n">
        <v>0</v>
      </c>
      <c r="L890" t="n">
        <v>0</v>
      </c>
      <c r="M890" t="n">
        <v>0</v>
      </c>
      <c r="N890" t="n">
        <v>0</v>
      </c>
      <c r="O890" t="n">
        <v>0</v>
      </c>
      <c r="P890" t="n">
        <v>0</v>
      </c>
      <c r="Q890" t="n">
        <v>0</v>
      </c>
      <c r="R890" s="2" t="inlineStr"/>
    </row>
    <row r="891" ht="15" customHeight="1">
      <c r="A891" t="inlineStr">
        <is>
          <t>A 70001-2018</t>
        </is>
      </c>
      <c r="B891" s="1" t="n">
        <v>43448</v>
      </c>
      <c r="C891" s="1" t="n">
        <v>45210</v>
      </c>
      <c r="D891" t="inlineStr">
        <is>
          <t>DALARNAS LÄN</t>
        </is>
      </c>
      <c r="E891" t="inlineStr">
        <is>
          <t>ÄLVDALEN</t>
        </is>
      </c>
      <c r="G891" t="n">
        <v>0.3</v>
      </c>
      <c r="H891" t="n">
        <v>0</v>
      </c>
      <c r="I891" t="n">
        <v>0</v>
      </c>
      <c r="J891" t="n">
        <v>0</v>
      </c>
      <c r="K891" t="n">
        <v>0</v>
      </c>
      <c r="L891" t="n">
        <v>0</v>
      </c>
      <c r="M891" t="n">
        <v>0</v>
      </c>
      <c r="N891" t="n">
        <v>0</v>
      </c>
      <c r="O891" t="n">
        <v>0</v>
      </c>
      <c r="P891" t="n">
        <v>0</v>
      </c>
      <c r="Q891" t="n">
        <v>0</v>
      </c>
      <c r="R891" s="2" t="inlineStr"/>
    </row>
    <row r="892" ht="15" customHeight="1">
      <c r="A892" t="inlineStr">
        <is>
          <t>A 70192-2018</t>
        </is>
      </c>
      <c r="B892" s="1" t="n">
        <v>43448</v>
      </c>
      <c r="C892" s="1" t="n">
        <v>45210</v>
      </c>
      <c r="D892" t="inlineStr">
        <is>
          <t>DALARNAS LÄN</t>
        </is>
      </c>
      <c r="E892" t="inlineStr">
        <is>
          <t>MALUNG-SÄLEN</t>
        </is>
      </c>
      <c r="F892" t="inlineStr">
        <is>
          <t>Kommuner</t>
        </is>
      </c>
      <c r="G892" t="n">
        <v>1.5</v>
      </c>
      <c r="H892" t="n">
        <v>0</v>
      </c>
      <c r="I892" t="n">
        <v>0</v>
      </c>
      <c r="J892" t="n">
        <v>0</v>
      </c>
      <c r="K892" t="n">
        <v>0</v>
      </c>
      <c r="L892" t="n">
        <v>0</v>
      </c>
      <c r="M892" t="n">
        <v>0</v>
      </c>
      <c r="N892" t="n">
        <v>0</v>
      </c>
      <c r="O892" t="n">
        <v>0</v>
      </c>
      <c r="P892" t="n">
        <v>0</v>
      </c>
      <c r="Q892" t="n">
        <v>0</v>
      </c>
      <c r="R892" s="2" t="inlineStr"/>
    </row>
    <row r="893" ht="15" customHeight="1">
      <c r="A893" t="inlineStr">
        <is>
          <t>A 70200-2018</t>
        </is>
      </c>
      <c r="B893" s="1" t="n">
        <v>43448</v>
      </c>
      <c r="C893" s="1" t="n">
        <v>45210</v>
      </c>
      <c r="D893" t="inlineStr">
        <is>
          <t>DALARNAS LÄN</t>
        </is>
      </c>
      <c r="E893" t="inlineStr">
        <is>
          <t>MALUNG-SÄLEN</t>
        </is>
      </c>
      <c r="F893" t="inlineStr">
        <is>
          <t>Kommuner</t>
        </is>
      </c>
      <c r="G893" t="n">
        <v>6.9</v>
      </c>
      <c r="H893" t="n">
        <v>0</v>
      </c>
      <c r="I893" t="n">
        <v>0</v>
      </c>
      <c r="J893" t="n">
        <v>0</v>
      </c>
      <c r="K893" t="n">
        <v>0</v>
      </c>
      <c r="L893" t="n">
        <v>0</v>
      </c>
      <c r="M893" t="n">
        <v>0</v>
      </c>
      <c r="N893" t="n">
        <v>0</v>
      </c>
      <c r="O893" t="n">
        <v>0</v>
      </c>
      <c r="P893" t="n">
        <v>0</v>
      </c>
      <c r="Q893" t="n">
        <v>0</v>
      </c>
      <c r="R893" s="2" t="inlineStr"/>
    </row>
    <row r="894" ht="15" customHeight="1">
      <c r="A894" t="inlineStr">
        <is>
          <t>A 70204-2018</t>
        </is>
      </c>
      <c r="B894" s="1" t="n">
        <v>43448</v>
      </c>
      <c r="C894" s="1" t="n">
        <v>45210</v>
      </c>
      <c r="D894" t="inlineStr">
        <is>
          <t>DALARNAS LÄN</t>
        </is>
      </c>
      <c r="E894" t="inlineStr">
        <is>
          <t>MALUNG-SÄLEN</t>
        </is>
      </c>
      <c r="F894" t="inlineStr">
        <is>
          <t>Kommuner</t>
        </is>
      </c>
      <c r="G894" t="n">
        <v>5.6</v>
      </c>
      <c r="H894" t="n">
        <v>0</v>
      </c>
      <c r="I894" t="n">
        <v>0</v>
      </c>
      <c r="J894" t="n">
        <v>0</v>
      </c>
      <c r="K894" t="n">
        <v>0</v>
      </c>
      <c r="L894" t="n">
        <v>0</v>
      </c>
      <c r="M894" t="n">
        <v>0</v>
      </c>
      <c r="N894" t="n">
        <v>0</v>
      </c>
      <c r="O894" t="n">
        <v>0</v>
      </c>
      <c r="P894" t="n">
        <v>0</v>
      </c>
      <c r="Q894" t="n">
        <v>0</v>
      </c>
      <c r="R894" s="2" t="inlineStr"/>
    </row>
    <row r="895" ht="15" customHeight="1">
      <c r="A895" t="inlineStr">
        <is>
          <t>A 70403-2018</t>
        </is>
      </c>
      <c r="B895" s="1" t="n">
        <v>43450</v>
      </c>
      <c r="C895" s="1" t="n">
        <v>45210</v>
      </c>
      <c r="D895" t="inlineStr">
        <is>
          <t>DALARNAS LÄN</t>
        </is>
      </c>
      <c r="E895" t="inlineStr">
        <is>
          <t>LEKSAND</t>
        </is>
      </c>
      <c r="G895" t="n">
        <v>1.5</v>
      </c>
      <c r="H895" t="n">
        <v>0</v>
      </c>
      <c r="I895" t="n">
        <v>0</v>
      </c>
      <c r="J895" t="n">
        <v>0</v>
      </c>
      <c r="K895" t="n">
        <v>0</v>
      </c>
      <c r="L895" t="n">
        <v>0</v>
      </c>
      <c r="M895" t="n">
        <v>0</v>
      </c>
      <c r="N895" t="n">
        <v>0</v>
      </c>
      <c r="O895" t="n">
        <v>0</v>
      </c>
      <c r="P895" t="n">
        <v>0</v>
      </c>
      <c r="Q895" t="n">
        <v>0</v>
      </c>
      <c r="R895" s="2" t="inlineStr"/>
    </row>
    <row r="896" ht="15" customHeight="1">
      <c r="A896" t="inlineStr">
        <is>
          <t>A 70717-2018</t>
        </is>
      </c>
      <c r="B896" s="1" t="n">
        <v>43451</v>
      </c>
      <c r="C896" s="1" t="n">
        <v>45210</v>
      </c>
      <c r="D896" t="inlineStr">
        <is>
          <t>DALARNAS LÄN</t>
        </is>
      </c>
      <c r="E896" t="inlineStr">
        <is>
          <t>LUDVIKA</t>
        </is>
      </c>
      <c r="G896" t="n">
        <v>0.7</v>
      </c>
      <c r="H896" t="n">
        <v>0</v>
      </c>
      <c r="I896" t="n">
        <v>0</v>
      </c>
      <c r="J896" t="n">
        <v>0</v>
      </c>
      <c r="K896" t="n">
        <v>0</v>
      </c>
      <c r="L896" t="n">
        <v>0</v>
      </c>
      <c r="M896" t="n">
        <v>0</v>
      </c>
      <c r="N896" t="n">
        <v>0</v>
      </c>
      <c r="O896" t="n">
        <v>0</v>
      </c>
      <c r="P896" t="n">
        <v>0</v>
      </c>
      <c r="Q896" t="n">
        <v>0</v>
      </c>
      <c r="R896" s="2" t="inlineStr"/>
    </row>
    <row r="897" ht="15" customHeight="1">
      <c r="A897" t="inlineStr">
        <is>
          <t>A 71333-2018</t>
        </is>
      </c>
      <c r="B897" s="1" t="n">
        <v>43451</v>
      </c>
      <c r="C897" s="1" t="n">
        <v>45210</v>
      </c>
      <c r="D897" t="inlineStr">
        <is>
          <t>DALARNAS LÄN</t>
        </is>
      </c>
      <c r="E897" t="inlineStr">
        <is>
          <t>RÄTTVIK</t>
        </is>
      </c>
      <c r="G897" t="n">
        <v>0.7</v>
      </c>
      <c r="H897" t="n">
        <v>0</v>
      </c>
      <c r="I897" t="n">
        <v>0</v>
      </c>
      <c r="J897" t="n">
        <v>0</v>
      </c>
      <c r="K897" t="n">
        <v>0</v>
      </c>
      <c r="L897" t="n">
        <v>0</v>
      </c>
      <c r="M897" t="n">
        <v>0</v>
      </c>
      <c r="N897" t="n">
        <v>0</v>
      </c>
      <c r="O897" t="n">
        <v>0</v>
      </c>
      <c r="P897" t="n">
        <v>0</v>
      </c>
      <c r="Q897" t="n">
        <v>0</v>
      </c>
      <c r="R897" s="2" t="inlineStr"/>
    </row>
    <row r="898" ht="15" customHeight="1">
      <c r="A898" t="inlineStr">
        <is>
          <t>A 70709-2018</t>
        </is>
      </c>
      <c r="B898" s="1" t="n">
        <v>43451</v>
      </c>
      <c r="C898" s="1" t="n">
        <v>45210</v>
      </c>
      <c r="D898" t="inlineStr">
        <is>
          <t>DALARNAS LÄN</t>
        </is>
      </c>
      <c r="E898" t="inlineStr">
        <is>
          <t>VANSBRO</t>
        </is>
      </c>
      <c r="G898" t="n">
        <v>4</v>
      </c>
      <c r="H898" t="n">
        <v>0</v>
      </c>
      <c r="I898" t="n">
        <v>0</v>
      </c>
      <c r="J898" t="n">
        <v>0</v>
      </c>
      <c r="K898" t="n">
        <v>0</v>
      </c>
      <c r="L898" t="n">
        <v>0</v>
      </c>
      <c r="M898" t="n">
        <v>0</v>
      </c>
      <c r="N898" t="n">
        <v>0</v>
      </c>
      <c r="O898" t="n">
        <v>0</v>
      </c>
      <c r="P898" t="n">
        <v>0</v>
      </c>
      <c r="Q898" t="n">
        <v>0</v>
      </c>
      <c r="R898" s="2" t="inlineStr"/>
    </row>
    <row r="899" ht="15" customHeight="1">
      <c r="A899" t="inlineStr">
        <is>
          <t>A 70719-2018</t>
        </is>
      </c>
      <c r="B899" s="1" t="n">
        <v>43451</v>
      </c>
      <c r="C899" s="1" t="n">
        <v>45210</v>
      </c>
      <c r="D899" t="inlineStr">
        <is>
          <t>DALARNAS LÄN</t>
        </is>
      </c>
      <c r="E899" t="inlineStr">
        <is>
          <t>MALUNG-SÄLEN</t>
        </is>
      </c>
      <c r="G899" t="n">
        <v>2.1</v>
      </c>
      <c r="H899" t="n">
        <v>0</v>
      </c>
      <c r="I899" t="n">
        <v>0</v>
      </c>
      <c r="J899" t="n">
        <v>0</v>
      </c>
      <c r="K899" t="n">
        <v>0</v>
      </c>
      <c r="L899" t="n">
        <v>0</v>
      </c>
      <c r="M899" t="n">
        <v>0</v>
      </c>
      <c r="N899" t="n">
        <v>0</v>
      </c>
      <c r="O899" t="n">
        <v>0</v>
      </c>
      <c r="P899" t="n">
        <v>0</v>
      </c>
      <c r="Q899" t="n">
        <v>0</v>
      </c>
      <c r="R899" s="2" t="inlineStr"/>
    </row>
    <row r="900" ht="15" customHeight="1">
      <c r="A900" t="inlineStr">
        <is>
          <t>A 70508-2018</t>
        </is>
      </c>
      <c r="B900" s="1" t="n">
        <v>43451</v>
      </c>
      <c r="C900" s="1" t="n">
        <v>45210</v>
      </c>
      <c r="D900" t="inlineStr">
        <is>
          <t>DALARNAS LÄN</t>
        </is>
      </c>
      <c r="E900" t="inlineStr">
        <is>
          <t>FALUN</t>
        </is>
      </c>
      <c r="G900" t="n">
        <v>2.6</v>
      </c>
      <c r="H900" t="n">
        <v>0</v>
      </c>
      <c r="I900" t="n">
        <v>0</v>
      </c>
      <c r="J900" t="n">
        <v>0</v>
      </c>
      <c r="K900" t="n">
        <v>0</v>
      </c>
      <c r="L900" t="n">
        <v>0</v>
      </c>
      <c r="M900" t="n">
        <v>0</v>
      </c>
      <c r="N900" t="n">
        <v>0</v>
      </c>
      <c r="O900" t="n">
        <v>0</v>
      </c>
      <c r="P900" t="n">
        <v>0</v>
      </c>
      <c r="Q900" t="n">
        <v>0</v>
      </c>
      <c r="R900" s="2" t="inlineStr"/>
    </row>
    <row r="901" ht="15" customHeight="1">
      <c r="A901" t="inlineStr">
        <is>
          <t>A 70725-2018</t>
        </is>
      </c>
      <c r="B901" s="1" t="n">
        <v>43451</v>
      </c>
      <c r="C901" s="1" t="n">
        <v>45210</v>
      </c>
      <c r="D901" t="inlineStr">
        <is>
          <t>DALARNAS LÄN</t>
        </is>
      </c>
      <c r="E901" t="inlineStr">
        <is>
          <t>RÄTTVIK</t>
        </is>
      </c>
      <c r="G901" t="n">
        <v>0.7</v>
      </c>
      <c r="H901" t="n">
        <v>0</v>
      </c>
      <c r="I901" t="n">
        <v>0</v>
      </c>
      <c r="J901" t="n">
        <v>0</v>
      </c>
      <c r="K901" t="n">
        <v>0</v>
      </c>
      <c r="L901" t="n">
        <v>0</v>
      </c>
      <c r="M901" t="n">
        <v>0</v>
      </c>
      <c r="N901" t="n">
        <v>0</v>
      </c>
      <c r="O901" t="n">
        <v>0</v>
      </c>
      <c r="P901" t="n">
        <v>0</v>
      </c>
      <c r="Q901" t="n">
        <v>0</v>
      </c>
      <c r="R901" s="2" t="inlineStr"/>
    </row>
    <row r="902" ht="15" customHeight="1">
      <c r="A902" t="inlineStr">
        <is>
          <t>A 70576-2018</t>
        </is>
      </c>
      <c r="B902" s="1" t="n">
        <v>43451</v>
      </c>
      <c r="C902" s="1" t="n">
        <v>45210</v>
      </c>
      <c r="D902" t="inlineStr">
        <is>
          <t>DALARNAS LÄN</t>
        </is>
      </c>
      <c r="E902" t="inlineStr">
        <is>
          <t>SMEDJEBACKEN</t>
        </is>
      </c>
      <c r="G902" t="n">
        <v>14.5</v>
      </c>
      <c r="H902" t="n">
        <v>0</v>
      </c>
      <c r="I902" t="n">
        <v>0</v>
      </c>
      <c r="J902" t="n">
        <v>0</v>
      </c>
      <c r="K902" t="n">
        <v>0</v>
      </c>
      <c r="L902" t="n">
        <v>0</v>
      </c>
      <c r="M902" t="n">
        <v>0</v>
      </c>
      <c r="N902" t="n">
        <v>0</v>
      </c>
      <c r="O902" t="n">
        <v>0</v>
      </c>
      <c r="P902" t="n">
        <v>0</v>
      </c>
      <c r="Q902" t="n">
        <v>0</v>
      </c>
      <c r="R902" s="2" t="inlineStr"/>
    </row>
    <row r="903" ht="15" customHeight="1">
      <c r="A903" t="inlineStr">
        <is>
          <t>A 70647-2018</t>
        </is>
      </c>
      <c r="B903" s="1" t="n">
        <v>43451</v>
      </c>
      <c r="C903" s="1" t="n">
        <v>45210</v>
      </c>
      <c r="D903" t="inlineStr">
        <is>
          <t>DALARNAS LÄN</t>
        </is>
      </c>
      <c r="E903" t="inlineStr">
        <is>
          <t>FALUN</t>
        </is>
      </c>
      <c r="G903" t="n">
        <v>2.9</v>
      </c>
      <c r="H903" t="n">
        <v>0</v>
      </c>
      <c r="I903" t="n">
        <v>0</v>
      </c>
      <c r="J903" t="n">
        <v>0</v>
      </c>
      <c r="K903" t="n">
        <v>0</v>
      </c>
      <c r="L903" t="n">
        <v>0</v>
      </c>
      <c r="M903" t="n">
        <v>0</v>
      </c>
      <c r="N903" t="n">
        <v>0</v>
      </c>
      <c r="O903" t="n">
        <v>0</v>
      </c>
      <c r="P903" t="n">
        <v>0</v>
      </c>
      <c r="Q903" t="n">
        <v>0</v>
      </c>
      <c r="R903" s="2" t="inlineStr"/>
    </row>
    <row r="904" ht="15" customHeight="1">
      <c r="A904" t="inlineStr">
        <is>
          <t>A 71299-2018</t>
        </is>
      </c>
      <c r="B904" s="1" t="n">
        <v>43451</v>
      </c>
      <c r="C904" s="1" t="n">
        <v>45210</v>
      </c>
      <c r="D904" t="inlineStr">
        <is>
          <t>DALARNAS LÄN</t>
        </is>
      </c>
      <c r="E904" t="inlineStr">
        <is>
          <t>RÄTTVIK</t>
        </is>
      </c>
      <c r="G904" t="n">
        <v>4.2</v>
      </c>
      <c r="H904" t="n">
        <v>0</v>
      </c>
      <c r="I904" t="n">
        <v>0</v>
      </c>
      <c r="J904" t="n">
        <v>0</v>
      </c>
      <c r="K904" t="n">
        <v>0</v>
      </c>
      <c r="L904" t="n">
        <v>0</v>
      </c>
      <c r="M904" t="n">
        <v>0</v>
      </c>
      <c r="N904" t="n">
        <v>0</v>
      </c>
      <c r="O904" t="n">
        <v>0</v>
      </c>
      <c r="P904" t="n">
        <v>0</v>
      </c>
      <c r="Q904" t="n">
        <v>0</v>
      </c>
      <c r="R904" s="2" t="inlineStr"/>
    </row>
    <row r="905" ht="15" customHeight="1">
      <c r="A905" t="inlineStr">
        <is>
          <t>A 71008-2018</t>
        </is>
      </c>
      <c r="B905" s="1" t="n">
        <v>43452</v>
      </c>
      <c r="C905" s="1" t="n">
        <v>45210</v>
      </c>
      <c r="D905" t="inlineStr">
        <is>
          <t>DALARNAS LÄN</t>
        </is>
      </c>
      <c r="E905" t="inlineStr">
        <is>
          <t>LUDVIKA</t>
        </is>
      </c>
      <c r="F905" t="inlineStr">
        <is>
          <t>Bergvik skog väst AB</t>
        </is>
      </c>
      <c r="G905" t="n">
        <v>5.1</v>
      </c>
      <c r="H905" t="n">
        <v>0</v>
      </c>
      <c r="I905" t="n">
        <v>0</v>
      </c>
      <c r="J905" t="n">
        <v>0</v>
      </c>
      <c r="K905" t="n">
        <v>0</v>
      </c>
      <c r="L905" t="n">
        <v>0</v>
      </c>
      <c r="M905" t="n">
        <v>0</v>
      </c>
      <c r="N905" t="n">
        <v>0</v>
      </c>
      <c r="O905" t="n">
        <v>0</v>
      </c>
      <c r="P905" t="n">
        <v>0</v>
      </c>
      <c r="Q905" t="n">
        <v>0</v>
      </c>
      <c r="R905" s="2" t="inlineStr"/>
    </row>
    <row r="906" ht="15" customHeight="1">
      <c r="A906" t="inlineStr">
        <is>
          <t>A 71069-2018</t>
        </is>
      </c>
      <c r="B906" s="1" t="n">
        <v>43452</v>
      </c>
      <c r="C906" s="1" t="n">
        <v>45210</v>
      </c>
      <c r="D906" t="inlineStr">
        <is>
          <t>DALARNAS LÄN</t>
        </is>
      </c>
      <c r="E906" t="inlineStr">
        <is>
          <t>BORLÄNGE</t>
        </is>
      </c>
      <c r="G906" t="n">
        <v>1</v>
      </c>
      <c r="H906" t="n">
        <v>0</v>
      </c>
      <c r="I906" t="n">
        <v>0</v>
      </c>
      <c r="J906" t="n">
        <v>0</v>
      </c>
      <c r="K906" t="n">
        <v>0</v>
      </c>
      <c r="L906" t="n">
        <v>0</v>
      </c>
      <c r="M906" t="n">
        <v>0</v>
      </c>
      <c r="N906" t="n">
        <v>0</v>
      </c>
      <c r="O906" t="n">
        <v>0</v>
      </c>
      <c r="P906" t="n">
        <v>0</v>
      </c>
      <c r="Q906" t="n">
        <v>0</v>
      </c>
      <c r="R906" s="2" t="inlineStr"/>
    </row>
    <row r="907" ht="15" customHeight="1">
      <c r="A907" t="inlineStr">
        <is>
          <t>A 70947-2018</t>
        </is>
      </c>
      <c r="B907" s="1" t="n">
        <v>43452</v>
      </c>
      <c r="C907" s="1" t="n">
        <v>45210</v>
      </c>
      <c r="D907" t="inlineStr">
        <is>
          <t>DALARNAS LÄN</t>
        </is>
      </c>
      <c r="E907" t="inlineStr">
        <is>
          <t>LEKSAND</t>
        </is>
      </c>
      <c r="F907" t="inlineStr">
        <is>
          <t>Bergvik skog väst AB</t>
        </is>
      </c>
      <c r="G907" t="n">
        <v>2.7</v>
      </c>
      <c r="H907" t="n">
        <v>0</v>
      </c>
      <c r="I907" t="n">
        <v>0</v>
      </c>
      <c r="J907" t="n">
        <v>0</v>
      </c>
      <c r="K907" t="n">
        <v>0</v>
      </c>
      <c r="L907" t="n">
        <v>0</v>
      </c>
      <c r="M907" t="n">
        <v>0</v>
      </c>
      <c r="N907" t="n">
        <v>0</v>
      </c>
      <c r="O907" t="n">
        <v>0</v>
      </c>
      <c r="P907" t="n">
        <v>0</v>
      </c>
      <c r="Q907" t="n">
        <v>0</v>
      </c>
      <c r="R907" s="2" t="inlineStr"/>
    </row>
    <row r="908" ht="15" customHeight="1">
      <c r="A908" t="inlineStr">
        <is>
          <t>A 71010-2018</t>
        </is>
      </c>
      <c r="B908" s="1" t="n">
        <v>43452</v>
      </c>
      <c r="C908" s="1" t="n">
        <v>45210</v>
      </c>
      <c r="D908" t="inlineStr">
        <is>
          <t>DALARNAS LÄN</t>
        </is>
      </c>
      <c r="E908" t="inlineStr">
        <is>
          <t>RÄTTVIK</t>
        </is>
      </c>
      <c r="G908" t="n">
        <v>21.2</v>
      </c>
      <c r="H908" t="n">
        <v>0</v>
      </c>
      <c r="I908" t="n">
        <v>0</v>
      </c>
      <c r="J908" t="n">
        <v>0</v>
      </c>
      <c r="K908" t="n">
        <v>0</v>
      </c>
      <c r="L908" t="n">
        <v>0</v>
      </c>
      <c r="M908" t="n">
        <v>0</v>
      </c>
      <c r="N908" t="n">
        <v>0</v>
      </c>
      <c r="O908" t="n">
        <v>0</v>
      </c>
      <c r="P908" t="n">
        <v>0</v>
      </c>
      <c r="Q908" t="n">
        <v>0</v>
      </c>
      <c r="R908" s="2" t="inlineStr"/>
    </row>
    <row r="909" ht="15" customHeight="1">
      <c r="A909" t="inlineStr">
        <is>
          <t>A 71040-2018</t>
        </is>
      </c>
      <c r="B909" s="1" t="n">
        <v>43452</v>
      </c>
      <c r="C909" s="1" t="n">
        <v>45210</v>
      </c>
      <c r="D909" t="inlineStr">
        <is>
          <t>DALARNAS LÄN</t>
        </is>
      </c>
      <c r="E909" t="inlineStr">
        <is>
          <t>LEKSAND</t>
        </is>
      </c>
      <c r="G909" t="n">
        <v>1.4</v>
      </c>
      <c r="H909" t="n">
        <v>0</v>
      </c>
      <c r="I909" t="n">
        <v>0</v>
      </c>
      <c r="J909" t="n">
        <v>0</v>
      </c>
      <c r="K909" t="n">
        <v>0</v>
      </c>
      <c r="L909" t="n">
        <v>0</v>
      </c>
      <c r="M909" t="n">
        <v>0</v>
      </c>
      <c r="N909" t="n">
        <v>0</v>
      </c>
      <c r="O909" t="n">
        <v>0</v>
      </c>
      <c r="P909" t="n">
        <v>0</v>
      </c>
      <c r="Q909" t="n">
        <v>0</v>
      </c>
      <c r="R909" s="2" t="inlineStr"/>
    </row>
    <row r="910" ht="15" customHeight="1">
      <c r="A910" t="inlineStr">
        <is>
          <t>A 71411-2018</t>
        </is>
      </c>
      <c r="B910" s="1" t="n">
        <v>43453</v>
      </c>
      <c r="C910" s="1" t="n">
        <v>45210</v>
      </c>
      <c r="D910" t="inlineStr">
        <is>
          <t>DALARNAS LÄN</t>
        </is>
      </c>
      <c r="E910" t="inlineStr">
        <is>
          <t>BORLÄNGE</t>
        </is>
      </c>
      <c r="F910" t="inlineStr">
        <is>
          <t>Kommuner</t>
        </is>
      </c>
      <c r="G910" t="n">
        <v>0.5</v>
      </c>
      <c r="H910" t="n">
        <v>0</v>
      </c>
      <c r="I910" t="n">
        <v>0</v>
      </c>
      <c r="J910" t="n">
        <v>0</v>
      </c>
      <c r="K910" t="n">
        <v>0</v>
      </c>
      <c r="L910" t="n">
        <v>0</v>
      </c>
      <c r="M910" t="n">
        <v>0</v>
      </c>
      <c r="N910" t="n">
        <v>0</v>
      </c>
      <c r="O910" t="n">
        <v>0</v>
      </c>
      <c r="P910" t="n">
        <v>0</v>
      </c>
      <c r="Q910" t="n">
        <v>0</v>
      </c>
      <c r="R910" s="2" t="inlineStr"/>
    </row>
    <row r="911" ht="15" customHeight="1">
      <c r="A911" t="inlineStr">
        <is>
          <t>A 71452-2018</t>
        </is>
      </c>
      <c r="B911" s="1" t="n">
        <v>43453</v>
      </c>
      <c r="C911" s="1" t="n">
        <v>45210</v>
      </c>
      <c r="D911" t="inlineStr">
        <is>
          <t>DALARNAS LÄN</t>
        </is>
      </c>
      <c r="E911" t="inlineStr">
        <is>
          <t>MALUNG-SÄLEN</t>
        </is>
      </c>
      <c r="G911" t="n">
        <v>1.2</v>
      </c>
      <c r="H911" t="n">
        <v>0</v>
      </c>
      <c r="I911" t="n">
        <v>0</v>
      </c>
      <c r="J911" t="n">
        <v>0</v>
      </c>
      <c r="K911" t="n">
        <v>0</v>
      </c>
      <c r="L911" t="n">
        <v>0</v>
      </c>
      <c r="M911" t="n">
        <v>0</v>
      </c>
      <c r="N911" t="n">
        <v>0</v>
      </c>
      <c r="O911" t="n">
        <v>0</v>
      </c>
      <c r="P911" t="n">
        <v>0</v>
      </c>
      <c r="Q911" t="n">
        <v>0</v>
      </c>
      <c r="R911" s="2" t="inlineStr"/>
    </row>
    <row r="912" ht="15" customHeight="1">
      <c r="A912" t="inlineStr">
        <is>
          <t>A 71489-2018</t>
        </is>
      </c>
      <c r="B912" s="1" t="n">
        <v>43453</v>
      </c>
      <c r="C912" s="1" t="n">
        <v>45210</v>
      </c>
      <c r="D912" t="inlineStr">
        <is>
          <t>DALARNAS LÄN</t>
        </is>
      </c>
      <c r="E912" t="inlineStr">
        <is>
          <t>FALUN</t>
        </is>
      </c>
      <c r="G912" t="n">
        <v>0.5</v>
      </c>
      <c r="H912" t="n">
        <v>0</v>
      </c>
      <c r="I912" t="n">
        <v>0</v>
      </c>
      <c r="J912" t="n">
        <v>0</v>
      </c>
      <c r="K912" t="n">
        <v>0</v>
      </c>
      <c r="L912" t="n">
        <v>0</v>
      </c>
      <c r="M912" t="n">
        <v>0</v>
      </c>
      <c r="N912" t="n">
        <v>0</v>
      </c>
      <c r="O912" t="n">
        <v>0</v>
      </c>
      <c r="P912" t="n">
        <v>0</v>
      </c>
      <c r="Q912" t="n">
        <v>0</v>
      </c>
      <c r="R912" s="2" t="inlineStr"/>
    </row>
    <row r="913" ht="15" customHeight="1">
      <c r="A913" t="inlineStr">
        <is>
          <t>A 71656-2018</t>
        </is>
      </c>
      <c r="B913" s="1" t="n">
        <v>43454</v>
      </c>
      <c r="C913" s="1" t="n">
        <v>45210</v>
      </c>
      <c r="D913" t="inlineStr">
        <is>
          <t>DALARNAS LÄN</t>
        </is>
      </c>
      <c r="E913" t="inlineStr">
        <is>
          <t>AVESTA</t>
        </is>
      </c>
      <c r="F913" t="inlineStr">
        <is>
          <t>Bergvik skog väst AB</t>
        </is>
      </c>
      <c r="G913" t="n">
        <v>2.9</v>
      </c>
      <c r="H913" t="n">
        <v>0</v>
      </c>
      <c r="I913" t="n">
        <v>0</v>
      </c>
      <c r="J913" t="n">
        <v>0</v>
      </c>
      <c r="K913" t="n">
        <v>0</v>
      </c>
      <c r="L913" t="n">
        <v>0</v>
      </c>
      <c r="M913" t="n">
        <v>0</v>
      </c>
      <c r="N913" t="n">
        <v>0</v>
      </c>
      <c r="O913" t="n">
        <v>0</v>
      </c>
      <c r="P913" t="n">
        <v>0</v>
      </c>
      <c r="Q913" t="n">
        <v>0</v>
      </c>
      <c r="R913" s="2" t="inlineStr"/>
    </row>
    <row r="914" ht="15" customHeight="1">
      <c r="A914" t="inlineStr">
        <is>
          <t>A 71721-2018</t>
        </is>
      </c>
      <c r="B914" s="1" t="n">
        <v>43454</v>
      </c>
      <c r="C914" s="1" t="n">
        <v>45210</v>
      </c>
      <c r="D914" t="inlineStr">
        <is>
          <t>DALARNAS LÄN</t>
        </is>
      </c>
      <c r="E914" t="inlineStr">
        <is>
          <t>MALUNG-SÄLEN</t>
        </is>
      </c>
      <c r="G914" t="n">
        <v>1</v>
      </c>
      <c r="H914" t="n">
        <v>0</v>
      </c>
      <c r="I914" t="n">
        <v>0</v>
      </c>
      <c r="J914" t="n">
        <v>0</v>
      </c>
      <c r="K914" t="n">
        <v>0</v>
      </c>
      <c r="L914" t="n">
        <v>0</v>
      </c>
      <c r="M914" t="n">
        <v>0</v>
      </c>
      <c r="N914" t="n">
        <v>0</v>
      </c>
      <c r="O914" t="n">
        <v>0</v>
      </c>
      <c r="P914" t="n">
        <v>0</v>
      </c>
      <c r="Q914" t="n">
        <v>0</v>
      </c>
      <c r="R914" s="2" t="inlineStr"/>
    </row>
    <row r="915" ht="15" customHeight="1">
      <c r="A915" t="inlineStr">
        <is>
          <t>A 71798-2018</t>
        </is>
      </c>
      <c r="B915" s="1" t="n">
        <v>43454</v>
      </c>
      <c r="C915" s="1" t="n">
        <v>45210</v>
      </c>
      <c r="D915" t="inlineStr">
        <is>
          <t>DALARNAS LÄN</t>
        </is>
      </c>
      <c r="E915" t="inlineStr">
        <is>
          <t>ÄLVDALEN</t>
        </is>
      </c>
      <c r="G915" t="n">
        <v>14.8</v>
      </c>
      <c r="H915" t="n">
        <v>0</v>
      </c>
      <c r="I915" t="n">
        <v>0</v>
      </c>
      <c r="J915" t="n">
        <v>0</v>
      </c>
      <c r="K915" t="n">
        <v>0</v>
      </c>
      <c r="L915" t="n">
        <v>0</v>
      </c>
      <c r="M915" t="n">
        <v>0</v>
      </c>
      <c r="N915" t="n">
        <v>0</v>
      </c>
      <c r="O915" t="n">
        <v>0</v>
      </c>
      <c r="P915" t="n">
        <v>0</v>
      </c>
      <c r="Q915" t="n">
        <v>0</v>
      </c>
      <c r="R915" s="2" t="inlineStr"/>
    </row>
    <row r="916" ht="15" customHeight="1">
      <c r="A916" t="inlineStr">
        <is>
          <t>A 72512-2018</t>
        </is>
      </c>
      <c r="B916" s="1" t="n">
        <v>43454</v>
      </c>
      <c r="C916" s="1" t="n">
        <v>45210</v>
      </c>
      <c r="D916" t="inlineStr">
        <is>
          <t>DALARNAS LÄN</t>
        </is>
      </c>
      <c r="E916" t="inlineStr">
        <is>
          <t>LEKSAND</t>
        </is>
      </c>
      <c r="G916" t="n">
        <v>1.6</v>
      </c>
      <c r="H916" t="n">
        <v>0</v>
      </c>
      <c r="I916" t="n">
        <v>0</v>
      </c>
      <c r="J916" t="n">
        <v>0</v>
      </c>
      <c r="K916" t="n">
        <v>0</v>
      </c>
      <c r="L916" t="n">
        <v>0</v>
      </c>
      <c r="M916" t="n">
        <v>0</v>
      </c>
      <c r="N916" t="n">
        <v>0</v>
      </c>
      <c r="O916" t="n">
        <v>0</v>
      </c>
      <c r="P916" t="n">
        <v>0</v>
      </c>
      <c r="Q916" t="n">
        <v>0</v>
      </c>
      <c r="R916" s="2" t="inlineStr"/>
    </row>
    <row r="917" ht="15" customHeight="1">
      <c r="A917" t="inlineStr">
        <is>
          <t>A 71761-2018</t>
        </is>
      </c>
      <c r="B917" s="1" t="n">
        <v>43454</v>
      </c>
      <c r="C917" s="1" t="n">
        <v>45210</v>
      </c>
      <c r="D917" t="inlineStr">
        <is>
          <t>DALARNAS LÄN</t>
        </is>
      </c>
      <c r="E917" t="inlineStr">
        <is>
          <t>RÄTTVIK</t>
        </is>
      </c>
      <c r="F917" t="inlineStr">
        <is>
          <t>Bergvik skog väst AB</t>
        </is>
      </c>
      <c r="G917" t="n">
        <v>5.4</v>
      </c>
      <c r="H917" t="n">
        <v>0</v>
      </c>
      <c r="I917" t="n">
        <v>0</v>
      </c>
      <c r="J917" t="n">
        <v>0</v>
      </c>
      <c r="K917" t="n">
        <v>0</v>
      </c>
      <c r="L917" t="n">
        <v>0</v>
      </c>
      <c r="M917" t="n">
        <v>0</v>
      </c>
      <c r="N917" t="n">
        <v>0</v>
      </c>
      <c r="O917" t="n">
        <v>0</v>
      </c>
      <c r="P917" t="n">
        <v>0</v>
      </c>
      <c r="Q917" t="n">
        <v>0</v>
      </c>
      <c r="R917" s="2" t="inlineStr"/>
    </row>
    <row r="918" ht="15" customHeight="1">
      <c r="A918" t="inlineStr">
        <is>
          <t>A 71803-2018</t>
        </is>
      </c>
      <c r="B918" s="1" t="n">
        <v>43454</v>
      </c>
      <c r="C918" s="1" t="n">
        <v>45210</v>
      </c>
      <c r="D918" t="inlineStr">
        <is>
          <t>DALARNAS LÄN</t>
        </is>
      </c>
      <c r="E918" t="inlineStr">
        <is>
          <t>RÄTTVIK</t>
        </is>
      </c>
      <c r="F918" t="inlineStr">
        <is>
          <t>Bergvik skog väst AB</t>
        </is>
      </c>
      <c r="G918" t="n">
        <v>6</v>
      </c>
      <c r="H918" t="n">
        <v>0</v>
      </c>
      <c r="I918" t="n">
        <v>0</v>
      </c>
      <c r="J918" t="n">
        <v>0</v>
      </c>
      <c r="K918" t="n">
        <v>0</v>
      </c>
      <c r="L918" t="n">
        <v>0</v>
      </c>
      <c r="M918" t="n">
        <v>0</v>
      </c>
      <c r="N918" t="n">
        <v>0</v>
      </c>
      <c r="O918" t="n">
        <v>0</v>
      </c>
      <c r="P918" t="n">
        <v>0</v>
      </c>
      <c r="Q918" t="n">
        <v>0</v>
      </c>
      <c r="R918" s="2" t="inlineStr"/>
    </row>
    <row r="919" ht="15" customHeight="1">
      <c r="A919" t="inlineStr">
        <is>
          <t>A 71813-2018</t>
        </is>
      </c>
      <c r="B919" s="1" t="n">
        <v>43454</v>
      </c>
      <c r="C919" s="1" t="n">
        <v>45210</v>
      </c>
      <c r="D919" t="inlineStr">
        <is>
          <t>DALARNAS LÄN</t>
        </is>
      </c>
      <c r="E919" t="inlineStr">
        <is>
          <t>FALUN</t>
        </is>
      </c>
      <c r="G919" t="n">
        <v>1</v>
      </c>
      <c r="H919" t="n">
        <v>0</v>
      </c>
      <c r="I919" t="n">
        <v>0</v>
      </c>
      <c r="J919" t="n">
        <v>0</v>
      </c>
      <c r="K919" t="n">
        <v>0</v>
      </c>
      <c r="L919" t="n">
        <v>0</v>
      </c>
      <c r="M919" t="n">
        <v>0</v>
      </c>
      <c r="N919" t="n">
        <v>0</v>
      </c>
      <c r="O919" t="n">
        <v>0</v>
      </c>
      <c r="P919" t="n">
        <v>0</v>
      </c>
      <c r="Q919" t="n">
        <v>0</v>
      </c>
      <c r="R919" s="2" t="inlineStr"/>
    </row>
    <row r="920" ht="15" customHeight="1">
      <c r="A920" t="inlineStr">
        <is>
          <t>A 71593-2018</t>
        </is>
      </c>
      <c r="B920" s="1" t="n">
        <v>43454</v>
      </c>
      <c r="C920" s="1" t="n">
        <v>45210</v>
      </c>
      <c r="D920" t="inlineStr">
        <is>
          <t>DALARNAS LÄN</t>
        </is>
      </c>
      <c r="E920" t="inlineStr">
        <is>
          <t>SMEDJEBACKEN</t>
        </is>
      </c>
      <c r="G920" t="n">
        <v>0.5</v>
      </c>
      <c r="H920" t="n">
        <v>0</v>
      </c>
      <c r="I920" t="n">
        <v>0</v>
      </c>
      <c r="J920" t="n">
        <v>0</v>
      </c>
      <c r="K920" t="n">
        <v>0</v>
      </c>
      <c r="L920" t="n">
        <v>0</v>
      </c>
      <c r="M920" t="n">
        <v>0</v>
      </c>
      <c r="N920" t="n">
        <v>0</v>
      </c>
      <c r="O920" t="n">
        <v>0</v>
      </c>
      <c r="P920" t="n">
        <v>0</v>
      </c>
      <c r="Q920" t="n">
        <v>0</v>
      </c>
      <c r="R920" s="2" t="inlineStr"/>
    </row>
    <row r="921" ht="15" customHeight="1">
      <c r="A921" t="inlineStr">
        <is>
          <t>A 71762-2018</t>
        </is>
      </c>
      <c r="B921" s="1" t="n">
        <v>43454</v>
      </c>
      <c r="C921" s="1" t="n">
        <v>45210</v>
      </c>
      <c r="D921" t="inlineStr">
        <is>
          <t>DALARNAS LÄN</t>
        </is>
      </c>
      <c r="E921" t="inlineStr">
        <is>
          <t>RÄTTVIK</t>
        </is>
      </c>
      <c r="F921" t="inlineStr">
        <is>
          <t>Bergvik skog väst AB</t>
        </is>
      </c>
      <c r="G921" t="n">
        <v>5.7</v>
      </c>
      <c r="H921" t="n">
        <v>0</v>
      </c>
      <c r="I921" t="n">
        <v>0</v>
      </c>
      <c r="J921" t="n">
        <v>0</v>
      </c>
      <c r="K921" t="n">
        <v>0</v>
      </c>
      <c r="L921" t="n">
        <v>0</v>
      </c>
      <c r="M921" t="n">
        <v>0</v>
      </c>
      <c r="N921" t="n">
        <v>0</v>
      </c>
      <c r="O921" t="n">
        <v>0</v>
      </c>
      <c r="P921" t="n">
        <v>0</v>
      </c>
      <c r="Q921" t="n">
        <v>0</v>
      </c>
      <c r="R921" s="2" t="inlineStr"/>
    </row>
    <row r="922" ht="15" customHeight="1">
      <c r="A922" t="inlineStr">
        <is>
          <t>A 71815-2018</t>
        </is>
      </c>
      <c r="B922" s="1" t="n">
        <v>43454</v>
      </c>
      <c r="C922" s="1" t="n">
        <v>45210</v>
      </c>
      <c r="D922" t="inlineStr">
        <is>
          <t>DALARNAS LÄN</t>
        </is>
      </c>
      <c r="E922" t="inlineStr">
        <is>
          <t>FALUN</t>
        </is>
      </c>
      <c r="G922" t="n">
        <v>0.6</v>
      </c>
      <c r="H922" t="n">
        <v>0</v>
      </c>
      <c r="I922" t="n">
        <v>0</v>
      </c>
      <c r="J922" t="n">
        <v>0</v>
      </c>
      <c r="K922" t="n">
        <v>0</v>
      </c>
      <c r="L922" t="n">
        <v>0</v>
      </c>
      <c r="M922" t="n">
        <v>0</v>
      </c>
      <c r="N922" t="n">
        <v>0</v>
      </c>
      <c r="O922" t="n">
        <v>0</v>
      </c>
      <c r="P922" t="n">
        <v>0</v>
      </c>
      <c r="Q922" t="n">
        <v>0</v>
      </c>
      <c r="R922" s="2" t="inlineStr"/>
    </row>
    <row r="923" ht="15" customHeight="1">
      <c r="A923" t="inlineStr">
        <is>
          <t>A 71969-2018</t>
        </is>
      </c>
      <c r="B923" s="1" t="n">
        <v>43455</v>
      </c>
      <c r="C923" s="1" t="n">
        <v>45210</v>
      </c>
      <c r="D923" t="inlineStr">
        <is>
          <t>DALARNAS LÄN</t>
        </is>
      </c>
      <c r="E923" t="inlineStr">
        <is>
          <t>BORLÄNGE</t>
        </is>
      </c>
      <c r="G923" t="n">
        <v>1.8</v>
      </c>
      <c r="H923" t="n">
        <v>0</v>
      </c>
      <c r="I923" t="n">
        <v>0</v>
      </c>
      <c r="J923" t="n">
        <v>0</v>
      </c>
      <c r="K923" t="n">
        <v>0</v>
      </c>
      <c r="L923" t="n">
        <v>0</v>
      </c>
      <c r="M923" t="n">
        <v>0</v>
      </c>
      <c r="N923" t="n">
        <v>0</v>
      </c>
      <c r="O923" t="n">
        <v>0</v>
      </c>
      <c r="P923" t="n">
        <v>0</v>
      </c>
      <c r="Q923" t="n">
        <v>0</v>
      </c>
      <c r="R923" s="2" t="inlineStr"/>
    </row>
    <row r="924" ht="15" customHeight="1">
      <c r="A924" t="inlineStr">
        <is>
          <t>A 72277-2018</t>
        </is>
      </c>
      <c r="B924" s="1" t="n">
        <v>43455</v>
      </c>
      <c r="C924" s="1" t="n">
        <v>45210</v>
      </c>
      <c r="D924" t="inlineStr">
        <is>
          <t>DALARNAS LÄN</t>
        </is>
      </c>
      <c r="E924" t="inlineStr">
        <is>
          <t>MORA</t>
        </is>
      </c>
      <c r="G924" t="n">
        <v>2.6</v>
      </c>
      <c r="H924" t="n">
        <v>0</v>
      </c>
      <c r="I924" t="n">
        <v>0</v>
      </c>
      <c r="J924" t="n">
        <v>0</v>
      </c>
      <c r="K924" t="n">
        <v>0</v>
      </c>
      <c r="L924" t="n">
        <v>0</v>
      </c>
      <c r="M924" t="n">
        <v>0</v>
      </c>
      <c r="N924" t="n">
        <v>0</v>
      </c>
      <c r="O924" t="n">
        <v>0</v>
      </c>
      <c r="P924" t="n">
        <v>0</v>
      </c>
      <c r="Q924" t="n">
        <v>0</v>
      </c>
      <c r="R924" s="2" t="inlineStr"/>
    </row>
    <row r="925" ht="15" customHeight="1">
      <c r="A925" t="inlineStr">
        <is>
          <t>A 518-2019</t>
        </is>
      </c>
      <c r="B925" s="1" t="n">
        <v>43455</v>
      </c>
      <c r="C925" s="1" t="n">
        <v>45210</v>
      </c>
      <c r="D925" t="inlineStr">
        <is>
          <t>DALARNAS LÄN</t>
        </is>
      </c>
      <c r="E925" t="inlineStr">
        <is>
          <t>RÄTTVIK</t>
        </is>
      </c>
      <c r="G925" t="n">
        <v>1.2</v>
      </c>
      <c r="H925" t="n">
        <v>0</v>
      </c>
      <c r="I925" t="n">
        <v>0</v>
      </c>
      <c r="J925" t="n">
        <v>0</v>
      </c>
      <c r="K925" t="n">
        <v>0</v>
      </c>
      <c r="L925" t="n">
        <v>0</v>
      </c>
      <c r="M925" t="n">
        <v>0</v>
      </c>
      <c r="N925" t="n">
        <v>0</v>
      </c>
      <c r="O925" t="n">
        <v>0</v>
      </c>
      <c r="P925" t="n">
        <v>0</v>
      </c>
      <c r="Q925" t="n">
        <v>0</v>
      </c>
      <c r="R925" s="2" t="inlineStr"/>
    </row>
    <row r="926" ht="15" customHeight="1">
      <c r="A926" t="inlineStr">
        <is>
          <t>A 72272-2018</t>
        </is>
      </c>
      <c r="B926" s="1" t="n">
        <v>43455</v>
      </c>
      <c r="C926" s="1" t="n">
        <v>45210</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72280-2018</t>
        </is>
      </c>
      <c r="B927" s="1" t="n">
        <v>43455</v>
      </c>
      <c r="C927" s="1" t="n">
        <v>45210</v>
      </c>
      <c r="D927" t="inlineStr">
        <is>
          <t>DALARNAS LÄN</t>
        </is>
      </c>
      <c r="E927" t="inlineStr">
        <is>
          <t>MORA</t>
        </is>
      </c>
      <c r="G927" t="n">
        <v>1.2</v>
      </c>
      <c r="H927" t="n">
        <v>0</v>
      </c>
      <c r="I927" t="n">
        <v>0</v>
      </c>
      <c r="J927" t="n">
        <v>0</v>
      </c>
      <c r="K927" t="n">
        <v>0</v>
      </c>
      <c r="L927" t="n">
        <v>0</v>
      </c>
      <c r="M927" t="n">
        <v>0</v>
      </c>
      <c r="N927" t="n">
        <v>0</v>
      </c>
      <c r="O927" t="n">
        <v>0</v>
      </c>
      <c r="P927" t="n">
        <v>0</v>
      </c>
      <c r="Q927" t="n">
        <v>0</v>
      </c>
      <c r="R927" s="2" t="inlineStr"/>
    </row>
    <row r="928" ht="15" customHeight="1">
      <c r="A928" t="inlineStr">
        <is>
          <t>A 72237-2018</t>
        </is>
      </c>
      <c r="B928" s="1" t="n">
        <v>43455</v>
      </c>
      <c r="C928" s="1" t="n">
        <v>45210</v>
      </c>
      <c r="D928" t="inlineStr">
        <is>
          <t>DALARNAS LÄN</t>
        </is>
      </c>
      <c r="E928" t="inlineStr">
        <is>
          <t>HEDEMORA</t>
        </is>
      </c>
      <c r="F928" t="inlineStr">
        <is>
          <t>Sveaskog</t>
        </is>
      </c>
      <c r="G928" t="n">
        <v>3</v>
      </c>
      <c r="H928" t="n">
        <v>0</v>
      </c>
      <c r="I928" t="n">
        <v>0</v>
      </c>
      <c r="J928" t="n">
        <v>0</v>
      </c>
      <c r="K928" t="n">
        <v>0</v>
      </c>
      <c r="L928" t="n">
        <v>0</v>
      </c>
      <c r="M928" t="n">
        <v>0</v>
      </c>
      <c r="N928" t="n">
        <v>0</v>
      </c>
      <c r="O928" t="n">
        <v>0</v>
      </c>
      <c r="P928" t="n">
        <v>0</v>
      </c>
      <c r="Q928" t="n">
        <v>0</v>
      </c>
      <c r="R928" s="2" t="inlineStr"/>
      <c r="U928">
        <f>HYPERLINK("https://klasma.github.io/Logging_2083/knärot/A 72237-2018.png", "A 72237-2018")</f>
        <v/>
      </c>
      <c r="V928">
        <f>HYPERLINK("https://klasma.github.io/Logging_2083/klagomål/A 72237-2018.docx", "A 72237-2018")</f>
        <v/>
      </c>
      <c r="W928">
        <f>HYPERLINK("https://klasma.github.io/Logging_2083/klagomålsmail/A 72237-2018.docx", "A 72237-2018")</f>
        <v/>
      </c>
      <c r="X928">
        <f>HYPERLINK("https://klasma.github.io/Logging_2083/tillsyn/A 72237-2018.docx", "A 72237-2018")</f>
        <v/>
      </c>
      <c r="Y928">
        <f>HYPERLINK("https://klasma.github.io/Logging_2083/tillsynsmail/A 72237-2018.docx", "A 72237-2018")</f>
        <v/>
      </c>
    </row>
    <row r="929" ht="15" customHeight="1">
      <c r="A929" t="inlineStr">
        <is>
          <t>A 72284-2018</t>
        </is>
      </c>
      <c r="B929" s="1" t="n">
        <v>43455</v>
      </c>
      <c r="C929" s="1" t="n">
        <v>45210</v>
      </c>
      <c r="D929" t="inlineStr">
        <is>
          <t>DALARNAS LÄN</t>
        </is>
      </c>
      <c r="E929" t="inlineStr">
        <is>
          <t>MORA</t>
        </is>
      </c>
      <c r="G929" t="n">
        <v>1.5</v>
      </c>
      <c r="H929" t="n">
        <v>0</v>
      </c>
      <c r="I929" t="n">
        <v>0</v>
      </c>
      <c r="J929" t="n">
        <v>0</v>
      </c>
      <c r="K929" t="n">
        <v>0</v>
      </c>
      <c r="L929" t="n">
        <v>0</v>
      </c>
      <c r="M929" t="n">
        <v>0</v>
      </c>
      <c r="N929" t="n">
        <v>0</v>
      </c>
      <c r="O929" t="n">
        <v>0</v>
      </c>
      <c r="P929" t="n">
        <v>0</v>
      </c>
      <c r="Q929" t="n">
        <v>0</v>
      </c>
      <c r="R929" s="2" t="inlineStr"/>
    </row>
    <row r="930" ht="15" customHeight="1">
      <c r="A930" t="inlineStr">
        <is>
          <t>A 72010-2018</t>
        </is>
      </c>
      <c r="B930" s="1" t="n">
        <v>43455</v>
      </c>
      <c r="C930" s="1" t="n">
        <v>45210</v>
      </c>
      <c r="D930" t="inlineStr">
        <is>
          <t>DALARNAS LÄN</t>
        </is>
      </c>
      <c r="E930" t="inlineStr">
        <is>
          <t>ÄLVDALEN</t>
        </is>
      </c>
      <c r="G930" t="n">
        <v>1.2</v>
      </c>
      <c r="H930" t="n">
        <v>0</v>
      </c>
      <c r="I930" t="n">
        <v>0</v>
      </c>
      <c r="J930" t="n">
        <v>0</v>
      </c>
      <c r="K930" t="n">
        <v>0</v>
      </c>
      <c r="L930" t="n">
        <v>0</v>
      </c>
      <c r="M930" t="n">
        <v>0</v>
      </c>
      <c r="N930" t="n">
        <v>0</v>
      </c>
      <c r="O930" t="n">
        <v>0</v>
      </c>
      <c r="P930" t="n">
        <v>0</v>
      </c>
      <c r="Q930" t="n">
        <v>0</v>
      </c>
      <c r="R930" s="2" t="inlineStr"/>
    </row>
    <row r="931" ht="15" customHeight="1">
      <c r="A931" t="inlineStr">
        <is>
          <t>A 72081-2018</t>
        </is>
      </c>
      <c r="B931" s="1" t="n">
        <v>43455</v>
      </c>
      <c r="C931" s="1" t="n">
        <v>45210</v>
      </c>
      <c r="D931" t="inlineStr">
        <is>
          <t>DALARNAS LÄN</t>
        </is>
      </c>
      <c r="E931" t="inlineStr">
        <is>
          <t>HEDEMORA</t>
        </is>
      </c>
      <c r="G931" t="n">
        <v>1.2</v>
      </c>
      <c r="H931" t="n">
        <v>0</v>
      </c>
      <c r="I931" t="n">
        <v>0</v>
      </c>
      <c r="J931" t="n">
        <v>0</v>
      </c>
      <c r="K931" t="n">
        <v>0</v>
      </c>
      <c r="L931" t="n">
        <v>0</v>
      </c>
      <c r="M931" t="n">
        <v>0</v>
      </c>
      <c r="N931" t="n">
        <v>0</v>
      </c>
      <c r="O931" t="n">
        <v>0</v>
      </c>
      <c r="P931" t="n">
        <v>0</v>
      </c>
      <c r="Q931" t="n">
        <v>0</v>
      </c>
      <c r="R931" s="2" t="inlineStr"/>
    </row>
    <row r="932" ht="15" customHeight="1">
      <c r="A932" t="inlineStr">
        <is>
          <t>A 72207-2018</t>
        </is>
      </c>
      <c r="B932" s="1" t="n">
        <v>43455</v>
      </c>
      <c r="C932" s="1" t="n">
        <v>45210</v>
      </c>
      <c r="D932" t="inlineStr">
        <is>
          <t>DALARNAS LÄN</t>
        </is>
      </c>
      <c r="E932" t="inlineStr">
        <is>
          <t>MALUNG-SÄLEN</t>
        </is>
      </c>
      <c r="G932" t="n">
        <v>7</v>
      </c>
      <c r="H932" t="n">
        <v>0</v>
      </c>
      <c r="I932" t="n">
        <v>0</v>
      </c>
      <c r="J932" t="n">
        <v>0</v>
      </c>
      <c r="K932" t="n">
        <v>0</v>
      </c>
      <c r="L932" t="n">
        <v>0</v>
      </c>
      <c r="M932" t="n">
        <v>0</v>
      </c>
      <c r="N932" t="n">
        <v>0</v>
      </c>
      <c r="O932" t="n">
        <v>0</v>
      </c>
      <c r="P932" t="n">
        <v>0</v>
      </c>
      <c r="Q932" t="n">
        <v>0</v>
      </c>
      <c r="R932" s="2" t="inlineStr"/>
    </row>
    <row r="933" ht="15" customHeight="1">
      <c r="A933" t="inlineStr">
        <is>
          <t>A 72241-2018</t>
        </is>
      </c>
      <c r="B933" s="1" t="n">
        <v>43455</v>
      </c>
      <c r="C933" s="1" t="n">
        <v>45210</v>
      </c>
      <c r="D933" t="inlineStr">
        <is>
          <t>DALARNAS LÄN</t>
        </is>
      </c>
      <c r="E933" t="inlineStr">
        <is>
          <t>HEDEMORA</t>
        </is>
      </c>
      <c r="F933" t="inlineStr">
        <is>
          <t>Sveaskog</t>
        </is>
      </c>
      <c r="G933" t="n">
        <v>2.9</v>
      </c>
      <c r="H933" t="n">
        <v>0</v>
      </c>
      <c r="I933" t="n">
        <v>0</v>
      </c>
      <c r="J933" t="n">
        <v>0</v>
      </c>
      <c r="K933" t="n">
        <v>0</v>
      </c>
      <c r="L933" t="n">
        <v>0</v>
      </c>
      <c r="M933" t="n">
        <v>0</v>
      </c>
      <c r="N933" t="n">
        <v>0</v>
      </c>
      <c r="O933" t="n">
        <v>0</v>
      </c>
      <c r="P933" t="n">
        <v>0</v>
      </c>
      <c r="Q933" t="n">
        <v>0</v>
      </c>
      <c r="R933" s="2" t="inlineStr"/>
    </row>
    <row r="934" ht="15" customHeight="1">
      <c r="A934" t="inlineStr">
        <is>
          <t>A 72393-2018</t>
        </is>
      </c>
      <c r="B934" s="1" t="n">
        <v>43461</v>
      </c>
      <c r="C934" s="1" t="n">
        <v>45210</v>
      </c>
      <c r="D934" t="inlineStr">
        <is>
          <t>DALARNAS LÄN</t>
        </is>
      </c>
      <c r="E934" t="inlineStr">
        <is>
          <t>BORLÄNGE</t>
        </is>
      </c>
      <c r="G934" t="n">
        <v>1.4</v>
      </c>
      <c r="H934" t="n">
        <v>0</v>
      </c>
      <c r="I934" t="n">
        <v>0</v>
      </c>
      <c r="J934" t="n">
        <v>0</v>
      </c>
      <c r="K934" t="n">
        <v>0</v>
      </c>
      <c r="L934" t="n">
        <v>0</v>
      </c>
      <c r="M934" t="n">
        <v>0</v>
      </c>
      <c r="N934" t="n">
        <v>0</v>
      </c>
      <c r="O934" t="n">
        <v>0</v>
      </c>
      <c r="P934" t="n">
        <v>0</v>
      </c>
      <c r="Q934" t="n">
        <v>0</v>
      </c>
      <c r="R934" s="2" t="inlineStr"/>
    </row>
    <row r="935" ht="15" customHeight="1">
      <c r="A935" t="inlineStr">
        <is>
          <t>A 72454-2018</t>
        </is>
      </c>
      <c r="B935" s="1" t="n">
        <v>43461</v>
      </c>
      <c r="C935" s="1" t="n">
        <v>45210</v>
      </c>
      <c r="D935" t="inlineStr">
        <is>
          <t>DALARNAS LÄN</t>
        </is>
      </c>
      <c r="E935" t="inlineStr">
        <is>
          <t>ÄLVDALEN</t>
        </is>
      </c>
      <c r="G935" t="n">
        <v>5.9</v>
      </c>
      <c r="H935" t="n">
        <v>0</v>
      </c>
      <c r="I935" t="n">
        <v>0</v>
      </c>
      <c r="J935" t="n">
        <v>0</v>
      </c>
      <c r="K935" t="n">
        <v>0</v>
      </c>
      <c r="L935" t="n">
        <v>0</v>
      </c>
      <c r="M935" t="n">
        <v>0</v>
      </c>
      <c r="N935" t="n">
        <v>0</v>
      </c>
      <c r="O935" t="n">
        <v>0</v>
      </c>
      <c r="P935" t="n">
        <v>0</v>
      </c>
      <c r="Q935" t="n">
        <v>0</v>
      </c>
      <c r="R935" s="2" t="inlineStr"/>
    </row>
    <row r="936" ht="15" customHeight="1">
      <c r="A936" t="inlineStr">
        <is>
          <t>A 958-2019</t>
        </is>
      </c>
      <c r="B936" s="1" t="n">
        <v>43461</v>
      </c>
      <c r="C936" s="1" t="n">
        <v>45210</v>
      </c>
      <c r="D936" t="inlineStr">
        <is>
          <t>DALARNAS LÄN</t>
        </is>
      </c>
      <c r="E936" t="inlineStr">
        <is>
          <t>LEKSAND</t>
        </is>
      </c>
      <c r="G936" t="n">
        <v>1.2</v>
      </c>
      <c r="H936" t="n">
        <v>0</v>
      </c>
      <c r="I936" t="n">
        <v>0</v>
      </c>
      <c r="J936" t="n">
        <v>0</v>
      </c>
      <c r="K936" t="n">
        <v>0</v>
      </c>
      <c r="L936" t="n">
        <v>0</v>
      </c>
      <c r="M936" t="n">
        <v>0</v>
      </c>
      <c r="N936" t="n">
        <v>0</v>
      </c>
      <c r="O936" t="n">
        <v>0</v>
      </c>
      <c r="P936" t="n">
        <v>0</v>
      </c>
      <c r="Q936" t="n">
        <v>0</v>
      </c>
      <c r="R936" s="2" t="inlineStr"/>
    </row>
    <row r="937" ht="15" customHeight="1">
      <c r="A937" t="inlineStr">
        <is>
          <t>A 1671-2019</t>
        </is>
      </c>
      <c r="B937" s="1" t="n">
        <v>43461</v>
      </c>
      <c r="C937" s="1" t="n">
        <v>45210</v>
      </c>
      <c r="D937" t="inlineStr">
        <is>
          <t>DALARNAS LÄN</t>
        </is>
      </c>
      <c r="E937" t="inlineStr">
        <is>
          <t>RÄTTVIK</t>
        </is>
      </c>
      <c r="G937" t="n">
        <v>1.7</v>
      </c>
      <c r="H937" t="n">
        <v>0</v>
      </c>
      <c r="I937" t="n">
        <v>0</v>
      </c>
      <c r="J937" t="n">
        <v>0</v>
      </c>
      <c r="K937" t="n">
        <v>0</v>
      </c>
      <c r="L937" t="n">
        <v>0</v>
      </c>
      <c r="M937" t="n">
        <v>0</v>
      </c>
      <c r="N937" t="n">
        <v>0</v>
      </c>
      <c r="O937" t="n">
        <v>0</v>
      </c>
      <c r="P937" t="n">
        <v>0</v>
      </c>
      <c r="Q937" t="n">
        <v>0</v>
      </c>
      <c r="R937" s="2" t="inlineStr"/>
    </row>
    <row r="938" ht="15" customHeight="1">
      <c r="A938" t="inlineStr">
        <is>
          <t>A 1693-2019</t>
        </is>
      </c>
      <c r="B938" s="1" t="n">
        <v>43461</v>
      </c>
      <c r="C938" s="1" t="n">
        <v>45210</v>
      </c>
      <c r="D938" t="inlineStr">
        <is>
          <t>DALARNAS LÄN</t>
        </is>
      </c>
      <c r="E938" t="inlineStr">
        <is>
          <t>ÄLVDALEN</t>
        </is>
      </c>
      <c r="G938" t="n">
        <v>0.7</v>
      </c>
      <c r="H938" t="n">
        <v>0</v>
      </c>
      <c r="I938" t="n">
        <v>0</v>
      </c>
      <c r="J938" t="n">
        <v>0</v>
      </c>
      <c r="K938" t="n">
        <v>0</v>
      </c>
      <c r="L938" t="n">
        <v>0</v>
      </c>
      <c r="M938" t="n">
        <v>0</v>
      </c>
      <c r="N938" t="n">
        <v>0</v>
      </c>
      <c r="O938" t="n">
        <v>0</v>
      </c>
      <c r="P938" t="n">
        <v>0</v>
      </c>
      <c r="Q938" t="n">
        <v>0</v>
      </c>
      <c r="R938" s="2" t="inlineStr"/>
    </row>
    <row r="939" ht="15" customHeight="1">
      <c r="A939" t="inlineStr">
        <is>
          <t>A 72459-2018</t>
        </is>
      </c>
      <c r="B939" s="1" t="n">
        <v>43461</v>
      </c>
      <c r="C939" s="1" t="n">
        <v>45210</v>
      </c>
      <c r="D939" t="inlineStr">
        <is>
          <t>DALARNAS LÄN</t>
        </is>
      </c>
      <c r="E939" t="inlineStr">
        <is>
          <t>ÄLVDALEN</t>
        </is>
      </c>
      <c r="G939" t="n">
        <v>2.7</v>
      </c>
      <c r="H939" t="n">
        <v>0</v>
      </c>
      <c r="I939" t="n">
        <v>0</v>
      </c>
      <c r="J939" t="n">
        <v>0</v>
      </c>
      <c r="K939" t="n">
        <v>0</v>
      </c>
      <c r="L939" t="n">
        <v>0</v>
      </c>
      <c r="M939" t="n">
        <v>0</v>
      </c>
      <c r="N939" t="n">
        <v>0</v>
      </c>
      <c r="O939" t="n">
        <v>0</v>
      </c>
      <c r="P939" t="n">
        <v>0</v>
      </c>
      <c r="Q939" t="n">
        <v>0</v>
      </c>
      <c r="R939" s="2" t="inlineStr"/>
    </row>
    <row r="940" ht="15" customHeight="1">
      <c r="A940" t="inlineStr">
        <is>
          <t>A 72499-2018</t>
        </is>
      </c>
      <c r="B940" s="1" t="n">
        <v>43462</v>
      </c>
      <c r="C940" s="1" t="n">
        <v>45210</v>
      </c>
      <c r="D940" t="inlineStr">
        <is>
          <t>DALARNAS LÄN</t>
        </is>
      </c>
      <c r="E940" t="inlineStr">
        <is>
          <t>ÄLVDALEN</t>
        </is>
      </c>
      <c r="G940" t="n">
        <v>0.9</v>
      </c>
      <c r="H940" t="n">
        <v>0</v>
      </c>
      <c r="I940" t="n">
        <v>0</v>
      </c>
      <c r="J940" t="n">
        <v>0</v>
      </c>
      <c r="K940" t="n">
        <v>0</v>
      </c>
      <c r="L940" t="n">
        <v>0</v>
      </c>
      <c r="M940" t="n">
        <v>0</v>
      </c>
      <c r="N940" t="n">
        <v>0</v>
      </c>
      <c r="O940" t="n">
        <v>0</v>
      </c>
      <c r="P940" t="n">
        <v>0</v>
      </c>
      <c r="Q940" t="n">
        <v>0</v>
      </c>
      <c r="R940" s="2" t="inlineStr"/>
    </row>
    <row r="941" ht="15" customHeight="1">
      <c r="A941" t="inlineStr">
        <is>
          <t>A 72525-2018</t>
        </is>
      </c>
      <c r="B941" s="1" t="n">
        <v>43462</v>
      </c>
      <c r="C941" s="1" t="n">
        <v>45210</v>
      </c>
      <c r="D941" t="inlineStr">
        <is>
          <t>DALARNAS LÄN</t>
        </is>
      </c>
      <c r="E941" t="inlineStr">
        <is>
          <t>MORA</t>
        </is>
      </c>
      <c r="G941" t="n">
        <v>3.9</v>
      </c>
      <c r="H941" t="n">
        <v>0</v>
      </c>
      <c r="I941" t="n">
        <v>0</v>
      </c>
      <c r="J941" t="n">
        <v>0</v>
      </c>
      <c r="K941" t="n">
        <v>0</v>
      </c>
      <c r="L941" t="n">
        <v>0</v>
      </c>
      <c r="M941" t="n">
        <v>0</v>
      </c>
      <c r="N941" t="n">
        <v>0</v>
      </c>
      <c r="O941" t="n">
        <v>0</v>
      </c>
      <c r="P941" t="n">
        <v>0</v>
      </c>
      <c r="Q941" t="n">
        <v>0</v>
      </c>
      <c r="R941" s="2" t="inlineStr"/>
    </row>
    <row r="942" ht="15" customHeight="1">
      <c r="A942" t="inlineStr">
        <is>
          <t>A 2093-2019</t>
        </is>
      </c>
      <c r="B942" s="1" t="n">
        <v>43462</v>
      </c>
      <c r="C942" s="1" t="n">
        <v>45210</v>
      </c>
      <c r="D942" t="inlineStr">
        <is>
          <t>DALARNAS LÄN</t>
        </is>
      </c>
      <c r="E942" t="inlineStr">
        <is>
          <t>LEKSAND</t>
        </is>
      </c>
      <c r="G942" t="n">
        <v>0.5</v>
      </c>
      <c r="H942" t="n">
        <v>0</v>
      </c>
      <c r="I942" t="n">
        <v>0</v>
      </c>
      <c r="J942" t="n">
        <v>0</v>
      </c>
      <c r="K942" t="n">
        <v>0</v>
      </c>
      <c r="L942" t="n">
        <v>0</v>
      </c>
      <c r="M942" t="n">
        <v>0</v>
      </c>
      <c r="N942" t="n">
        <v>0</v>
      </c>
      <c r="O942" t="n">
        <v>0</v>
      </c>
      <c r="P942" t="n">
        <v>0</v>
      </c>
      <c r="Q942" t="n">
        <v>0</v>
      </c>
      <c r="R942" s="2" t="inlineStr"/>
    </row>
    <row r="943" ht="15" customHeight="1">
      <c r="A943" t="inlineStr">
        <is>
          <t>A 72539-2018</t>
        </is>
      </c>
      <c r="B943" s="1" t="n">
        <v>43462</v>
      </c>
      <c r="C943" s="1" t="n">
        <v>45210</v>
      </c>
      <c r="D943" t="inlineStr">
        <is>
          <t>DALARNAS LÄN</t>
        </is>
      </c>
      <c r="E943" t="inlineStr">
        <is>
          <t>GAGNEF</t>
        </is>
      </c>
      <c r="G943" t="n">
        <v>1.4</v>
      </c>
      <c r="H943" t="n">
        <v>0</v>
      </c>
      <c r="I943" t="n">
        <v>0</v>
      </c>
      <c r="J943" t="n">
        <v>0</v>
      </c>
      <c r="K943" t="n">
        <v>0</v>
      </c>
      <c r="L943" t="n">
        <v>0</v>
      </c>
      <c r="M943" t="n">
        <v>0</v>
      </c>
      <c r="N943" t="n">
        <v>0</v>
      </c>
      <c r="O943" t="n">
        <v>0</v>
      </c>
      <c r="P943" t="n">
        <v>0</v>
      </c>
      <c r="Q943" t="n">
        <v>0</v>
      </c>
      <c r="R943" s="2" t="inlineStr"/>
    </row>
    <row r="944" ht="15" customHeight="1">
      <c r="A944" t="inlineStr">
        <is>
          <t>A 72626-2018</t>
        </is>
      </c>
      <c r="B944" s="1" t="n">
        <v>43464</v>
      </c>
      <c r="C944" s="1" t="n">
        <v>45210</v>
      </c>
      <c r="D944" t="inlineStr">
        <is>
          <t>DALARNAS LÄN</t>
        </is>
      </c>
      <c r="E944" t="inlineStr">
        <is>
          <t>LEKSAND</t>
        </is>
      </c>
      <c r="G944" t="n">
        <v>4.9</v>
      </c>
      <c r="H944" t="n">
        <v>0</v>
      </c>
      <c r="I944" t="n">
        <v>0</v>
      </c>
      <c r="J944" t="n">
        <v>0</v>
      </c>
      <c r="K944" t="n">
        <v>0</v>
      </c>
      <c r="L944" t="n">
        <v>0</v>
      </c>
      <c r="M944" t="n">
        <v>0</v>
      </c>
      <c r="N944" t="n">
        <v>0</v>
      </c>
      <c r="O944" t="n">
        <v>0</v>
      </c>
      <c r="P944" t="n">
        <v>0</v>
      </c>
      <c r="Q944" t="n">
        <v>0</v>
      </c>
      <c r="R944" s="2" t="inlineStr"/>
    </row>
    <row r="945" ht="15" customHeight="1">
      <c r="A945" t="inlineStr">
        <is>
          <t>A 72622-2018</t>
        </is>
      </c>
      <c r="B945" s="1" t="n">
        <v>43464</v>
      </c>
      <c r="C945" s="1" t="n">
        <v>45210</v>
      </c>
      <c r="D945" t="inlineStr">
        <is>
          <t>DALARNAS LÄN</t>
        </is>
      </c>
      <c r="E945" t="inlineStr">
        <is>
          <t>HEDEMORA</t>
        </is>
      </c>
      <c r="G945" t="n">
        <v>1.5</v>
      </c>
      <c r="H945" t="n">
        <v>0</v>
      </c>
      <c r="I945" t="n">
        <v>0</v>
      </c>
      <c r="J945" t="n">
        <v>0</v>
      </c>
      <c r="K945" t="n">
        <v>0</v>
      </c>
      <c r="L945" t="n">
        <v>0</v>
      </c>
      <c r="M945" t="n">
        <v>0</v>
      </c>
      <c r="N945" t="n">
        <v>0</v>
      </c>
      <c r="O945" t="n">
        <v>0</v>
      </c>
      <c r="P945" t="n">
        <v>0</v>
      </c>
      <c r="Q945" t="n">
        <v>0</v>
      </c>
      <c r="R945" s="2" t="inlineStr"/>
    </row>
    <row r="946" ht="15" customHeight="1">
      <c r="A946" t="inlineStr">
        <is>
          <t>A 124-2019</t>
        </is>
      </c>
      <c r="B946" s="1" t="n">
        <v>43467</v>
      </c>
      <c r="C946" s="1" t="n">
        <v>45210</v>
      </c>
      <c r="D946" t="inlineStr">
        <is>
          <t>DALARNAS LÄN</t>
        </is>
      </c>
      <c r="E946" t="inlineStr">
        <is>
          <t>MORA</t>
        </is>
      </c>
      <c r="G946" t="n">
        <v>0.5</v>
      </c>
      <c r="H946" t="n">
        <v>0</v>
      </c>
      <c r="I946" t="n">
        <v>0</v>
      </c>
      <c r="J946" t="n">
        <v>0</v>
      </c>
      <c r="K946" t="n">
        <v>0</v>
      </c>
      <c r="L946" t="n">
        <v>0</v>
      </c>
      <c r="M946" t="n">
        <v>0</v>
      </c>
      <c r="N946" t="n">
        <v>0</v>
      </c>
      <c r="O946" t="n">
        <v>0</v>
      </c>
      <c r="P946" t="n">
        <v>0</v>
      </c>
      <c r="Q946" t="n">
        <v>0</v>
      </c>
      <c r="R946" s="2" t="inlineStr"/>
    </row>
    <row r="947" ht="15" customHeight="1">
      <c r="A947" t="inlineStr">
        <is>
          <t>A 128-2019</t>
        </is>
      </c>
      <c r="B947" s="1" t="n">
        <v>43467</v>
      </c>
      <c r="C947" s="1" t="n">
        <v>45210</v>
      </c>
      <c r="D947" t="inlineStr">
        <is>
          <t>DALARNAS LÄN</t>
        </is>
      </c>
      <c r="E947" t="inlineStr">
        <is>
          <t>FALUN</t>
        </is>
      </c>
      <c r="G947" t="n">
        <v>3.2</v>
      </c>
      <c r="H947" t="n">
        <v>0</v>
      </c>
      <c r="I947" t="n">
        <v>0</v>
      </c>
      <c r="J947" t="n">
        <v>0</v>
      </c>
      <c r="K947" t="n">
        <v>0</v>
      </c>
      <c r="L947" t="n">
        <v>0</v>
      </c>
      <c r="M947" t="n">
        <v>0</v>
      </c>
      <c r="N947" t="n">
        <v>0</v>
      </c>
      <c r="O947" t="n">
        <v>0</v>
      </c>
      <c r="P947" t="n">
        <v>0</v>
      </c>
      <c r="Q947" t="n">
        <v>0</v>
      </c>
      <c r="R947" s="2" t="inlineStr"/>
    </row>
    <row r="948" ht="15" customHeight="1">
      <c r="A948" t="inlineStr">
        <is>
          <t>A 111-2019</t>
        </is>
      </c>
      <c r="B948" s="1" t="n">
        <v>43467</v>
      </c>
      <c r="C948" s="1" t="n">
        <v>45210</v>
      </c>
      <c r="D948" t="inlineStr">
        <is>
          <t>DALARNAS LÄN</t>
        </is>
      </c>
      <c r="E948" t="inlineStr">
        <is>
          <t>MORA</t>
        </is>
      </c>
      <c r="G948" t="n">
        <v>1.2</v>
      </c>
      <c r="H948" t="n">
        <v>0</v>
      </c>
      <c r="I948" t="n">
        <v>0</v>
      </c>
      <c r="J948" t="n">
        <v>0</v>
      </c>
      <c r="K948" t="n">
        <v>0</v>
      </c>
      <c r="L948" t="n">
        <v>0</v>
      </c>
      <c r="M948" t="n">
        <v>0</v>
      </c>
      <c r="N948" t="n">
        <v>0</v>
      </c>
      <c r="O948" t="n">
        <v>0</v>
      </c>
      <c r="P948" t="n">
        <v>0</v>
      </c>
      <c r="Q948" t="n">
        <v>0</v>
      </c>
      <c r="R948" s="2" t="inlineStr"/>
    </row>
    <row r="949" ht="15" customHeight="1">
      <c r="A949" t="inlineStr">
        <is>
          <t>A 2121-2019</t>
        </is>
      </c>
      <c r="B949" s="1" t="n">
        <v>43467</v>
      </c>
      <c r="C949" s="1" t="n">
        <v>45210</v>
      </c>
      <c r="D949" t="inlineStr">
        <is>
          <t>DALARNAS LÄN</t>
        </is>
      </c>
      <c r="E949" t="inlineStr">
        <is>
          <t>FALUN</t>
        </is>
      </c>
      <c r="G949" t="n">
        <v>0.4</v>
      </c>
      <c r="H949" t="n">
        <v>0</v>
      </c>
      <c r="I949" t="n">
        <v>0</v>
      </c>
      <c r="J949" t="n">
        <v>0</v>
      </c>
      <c r="K949" t="n">
        <v>0</v>
      </c>
      <c r="L949" t="n">
        <v>0</v>
      </c>
      <c r="M949" t="n">
        <v>0</v>
      </c>
      <c r="N949" t="n">
        <v>0</v>
      </c>
      <c r="O949" t="n">
        <v>0</v>
      </c>
      <c r="P949" t="n">
        <v>0</v>
      </c>
      <c r="Q949" t="n">
        <v>0</v>
      </c>
      <c r="R949" s="2" t="inlineStr"/>
    </row>
    <row r="950" ht="15" customHeight="1">
      <c r="A950" t="inlineStr">
        <is>
          <t>A 56-2019</t>
        </is>
      </c>
      <c r="B950" s="1" t="n">
        <v>43467</v>
      </c>
      <c r="C950" s="1" t="n">
        <v>45210</v>
      </c>
      <c r="D950" t="inlineStr">
        <is>
          <t>DALARNAS LÄN</t>
        </is>
      </c>
      <c r="E950" t="inlineStr">
        <is>
          <t>SÄTER</t>
        </is>
      </c>
      <c r="G950" t="n">
        <v>1.5</v>
      </c>
      <c r="H950" t="n">
        <v>0</v>
      </c>
      <c r="I950" t="n">
        <v>0</v>
      </c>
      <c r="J950" t="n">
        <v>0</v>
      </c>
      <c r="K950" t="n">
        <v>0</v>
      </c>
      <c r="L950" t="n">
        <v>0</v>
      </c>
      <c r="M950" t="n">
        <v>0</v>
      </c>
      <c r="N950" t="n">
        <v>0</v>
      </c>
      <c r="O950" t="n">
        <v>0</v>
      </c>
      <c r="P950" t="n">
        <v>0</v>
      </c>
      <c r="Q950" t="n">
        <v>0</v>
      </c>
      <c r="R950" s="2" t="inlineStr"/>
    </row>
    <row r="951" ht="15" customHeight="1">
      <c r="A951" t="inlineStr">
        <is>
          <t>A 335-2019</t>
        </is>
      </c>
      <c r="B951" s="1" t="n">
        <v>43468</v>
      </c>
      <c r="C951" s="1" t="n">
        <v>45210</v>
      </c>
      <c r="D951" t="inlineStr">
        <is>
          <t>DALARNAS LÄN</t>
        </is>
      </c>
      <c r="E951" t="inlineStr">
        <is>
          <t>FALUN</t>
        </is>
      </c>
      <c r="G951" t="n">
        <v>1.2</v>
      </c>
      <c r="H951" t="n">
        <v>0</v>
      </c>
      <c r="I951" t="n">
        <v>0</v>
      </c>
      <c r="J951" t="n">
        <v>0</v>
      </c>
      <c r="K951" t="n">
        <v>0</v>
      </c>
      <c r="L951" t="n">
        <v>0</v>
      </c>
      <c r="M951" t="n">
        <v>0</v>
      </c>
      <c r="N951" t="n">
        <v>0</v>
      </c>
      <c r="O951" t="n">
        <v>0</v>
      </c>
      <c r="P951" t="n">
        <v>0</v>
      </c>
      <c r="Q951" t="n">
        <v>0</v>
      </c>
      <c r="R951" s="2" t="inlineStr"/>
    </row>
    <row r="952" ht="15" customHeight="1">
      <c r="A952" t="inlineStr">
        <is>
          <t>A 2182-2019</t>
        </is>
      </c>
      <c r="B952" s="1" t="n">
        <v>43468</v>
      </c>
      <c r="C952" s="1" t="n">
        <v>45210</v>
      </c>
      <c r="D952" t="inlineStr">
        <is>
          <t>DALARNAS LÄN</t>
        </is>
      </c>
      <c r="E952" t="inlineStr">
        <is>
          <t>FALUN</t>
        </is>
      </c>
      <c r="G952" t="n">
        <v>1.4</v>
      </c>
      <c r="H952" t="n">
        <v>0</v>
      </c>
      <c r="I952" t="n">
        <v>0</v>
      </c>
      <c r="J952" t="n">
        <v>0</v>
      </c>
      <c r="K952" t="n">
        <v>0</v>
      </c>
      <c r="L952" t="n">
        <v>0</v>
      </c>
      <c r="M952" t="n">
        <v>0</v>
      </c>
      <c r="N952" t="n">
        <v>0</v>
      </c>
      <c r="O952" t="n">
        <v>0</v>
      </c>
      <c r="P952" t="n">
        <v>0</v>
      </c>
      <c r="Q952" t="n">
        <v>0</v>
      </c>
      <c r="R952" s="2" t="inlineStr"/>
    </row>
    <row r="953" ht="15" customHeight="1">
      <c r="A953" t="inlineStr">
        <is>
          <t>A 2370-2019</t>
        </is>
      </c>
      <c r="B953" s="1" t="n">
        <v>43468</v>
      </c>
      <c r="C953" s="1" t="n">
        <v>45210</v>
      </c>
      <c r="D953" t="inlineStr">
        <is>
          <t>DALARNAS LÄN</t>
        </is>
      </c>
      <c r="E953" t="inlineStr">
        <is>
          <t>AVESTA</t>
        </is>
      </c>
      <c r="G953" t="n">
        <v>1.3</v>
      </c>
      <c r="H953" t="n">
        <v>0</v>
      </c>
      <c r="I953" t="n">
        <v>0</v>
      </c>
      <c r="J953" t="n">
        <v>0</v>
      </c>
      <c r="K953" t="n">
        <v>0</v>
      </c>
      <c r="L953" t="n">
        <v>0</v>
      </c>
      <c r="M953" t="n">
        <v>0</v>
      </c>
      <c r="N953" t="n">
        <v>0</v>
      </c>
      <c r="O953" t="n">
        <v>0</v>
      </c>
      <c r="P953" t="n">
        <v>0</v>
      </c>
      <c r="Q953" t="n">
        <v>0</v>
      </c>
      <c r="R953" s="2" t="inlineStr"/>
    </row>
    <row r="954" ht="15" customHeight="1">
      <c r="A954" t="inlineStr">
        <is>
          <t>A 343-2019</t>
        </is>
      </c>
      <c r="B954" s="1" t="n">
        <v>43468</v>
      </c>
      <c r="C954" s="1" t="n">
        <v>45210</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571-2019</t>
        </is>
      </c>
      <c r="B955" s="1" t="n">
        <v>43469</v>
      </c>
      <c r="C955" s="1" t="n">
        <v>45210</v>
      </c>
      <c r="D955" t="inlineStr">
        <is>
          <t>DALARNAS LÄN</t>
        </is>
      </c>
      <c r="E955" t="inlineStr">
        <is>
          <t>MORA</t>
        </is>
      </c>
      <c r="G955" t="n">
        <v>2.2</v>
      </c>
      <c r="H955" t="n">
        <v>0</v>
      </c>
      <c r="I955" t="n">
        <v>0</v>
      </c>
      <c r="J955" t="n">
        <v>0</v>
      </c>
      <c r="K955" t="n">
        <v>0</v>
      </c>
      <c r="L955" t="n">
        <v>0</v>
      </c>
      <c r="M955" t="n">
        <v>0</v>
      </c>
      <c r="N955" t="n">
        <v>0</v>
      </c>
      <c r="O955" t="n">
        <v>0</v>
      </c>
      <c r="P955" t="n">
        <v>0</v>
      </c>
      <c r="Q955" t="n">
        <v>0</v>
      </c>
      <c r="R955" s="2" t="inlineStr"/>
    </row>
    <row r="956" ht="15" customHeight="1">
      <c r="A956" t="inlineStr">
        <is>
          <t>A 760-2019</t>
        </is>
      </c>
      <c r="B956" s="1" t="n">
        <v>43471</v>
      </c>
      <c r="C956" s="1" t="n">
        <v>45210</v>
      </c>
      <c r="D956" t="inlineStr">
        <is>
          <t>DALARNAS LÄN</t>
        </is>
      </c>
      <c r="E956" t="inlineStr">
        <is>
          <t>LEKSAND</t>
        </is>
      </c>
      <c r="G956" t="n">
        <v>1.8</v>
      </c>
      <c r="H956" t="n">
        <v>0</v>
      </c>
      <c r="I956" t="n">
        <v>0</v>
      </c>
      <c r="J956" t="n">
        <v>0</v>
      </c>
      <c r="K956" t="n">
        <v>0</v>
      </c>
      <c r="L956" t="n">
        <v>0</v>
      </c>
      <c r="M956" t="n">
        <v>0</v>
      </c>
      <c r="N956" t="n">
        <v>0</v>
      </c>
      <c r="O956" t="n">
        <v>0</v>
      </c>
      <c r="P956" t="n">
        <v>0</v>
      </c>
      <c r="Q956" t="n">
        <v>0</v>
      </c>
      <c r="R956" s="2" t="inlineStr"/>
    </row>
    <row r="957" ht="15" customHeight="1">
      <c r="A957" t="inlineStr">
        <is>
          <t>A 763-2019</t>
        </is>
      </c>
      <c r="B957" s="1" t="n">
        <v>43471</v>
      </c>
      <c r="C957" s="1" t="n">
        <v>45210</v>
      </c>
      <c r="D957" t="inlineStr">
        <is>
          <t>DALARNAS LÄN</t>
        </is>
      </c>
      <c r="E957" t="inlineStr">
        <is>
          <t>RÄTTVIK</t>
        </is>
      </c>
      <c r="G957" t="n">
        <v>1.2</v>
      </c>
      <c r="H957" t="n">
        <v>0</v>
      </c>
      <c r="I957" t="n">
        <v>0</v>
      </c>
      <c r="J957" t="n">
        <v>0</v>
      </c>
      <c r="K957" t="n">
        <v>0</v>
      </c>
      <c r="L957" t="n">
        <v>0</v>
      </c>
      <c r="M957" t="n">
        <v>0</v>
      </c>
      <c r="N957" t="n">
        <v>0</v>
      </c>
      <c r="O957" t="n">
        <v>0</v>
      </c>
      <c r="P957" t="n">
        <v>0</v>
      </c>
      <c r="Q957" t="n">
        <v>0</v>
      </c>
      <c r="R957" s="2" t="inlineStr"/>
    </row>
    <row r="958" ht="15" customHeight="1">
      <c r="A958" t="inlineStr">
        <is>
          <t>A 950-2019</t>
        </is>
      </c>
      <c r="B958" s="1" t="n">
        <v>43472</v>
      </c>
      <c r="C958" s="1" t="n">
        <v>45210</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964-2019</t>
        </is>
      </c>
      <c r="B959" s="1" t="n">
        <v>43472</v>
      </c>
      <c r="C959" s="1" t="n">
        <v>45210</v>
      </c>
      <c r="D959" t="inlineStr">
        <is>
          <t>DALARNAS LÄN</t>
        </is>
      </c>
      <c r="E959" t="inlineStr">
        <is>
          <t>SMEDJEBACKEN</t>
        </is>
      </c>
      <c r="G959" t="n">
        <v>17</v>
      </c>
      <c r="H959" t="n">
        <v>0</v>
      </c>
      <c r="I959" t="n">
        <v>0</v>
      </c>
      <c r="J959" t="n">
        <v>0</v>
      </c>
      <c r="K959" t="n">
        <v>0</v>
      </c>
      <c r="L959" t="n">
        <v>0</v>
      </c>
      <c r="M959" t="n">
        <v>0</v>
      </c>
      <c r="N959" t="n">
        <v>0</v>
      </c>
      <c r="O959" t="n">
        <v>0</v>
      </c>
      <c r="P959" t="n">
        <v>0</v>
      </c>
      <c r="Q959" t="n">
        <v>0</v>
      </c>
      <c r="R959" s="2" t="inlineStr"/>
    </row>
    <row r="960" ht="15" customHeight="1">
      <c r="A960" t="inlineStr">
        <is>
          <t>A 1019-2019</t>
        </is>
      </c>
      <c r="B960" s="1" t="n">
        <v>43472</v>
      </c>
      <c r="C960" s="1" t="n">
        <v>45210</v>
      </c>
      <c r="D960" t="inlineStr">
        <is>
          <t>DALARNAS LÄN</t>
        </is>
      </c>
      <c r="E960" t="inlineStr">
        <is>
          <t>HEDEMORA</t>
        </is>
      </c>
      <c r="G960" t="n">
        <v>2.2</v>
      </c>
      <c r="H960" t="n">
        <v>0</v>
      </c>
      <c r="I960" t="n">
        <v>0</v>
      </c>
      <c r="J960" t="n">
        <v>0</v>
      </c>
      <c r="K960" t="n">
        <v>0</v>
      </c>
      <c r="L960" t="n">
        <v>0</v>
      </c>
      <c r="M960" t="n">
        <v>0</v>
      </c>
      <c r="N960" t="n">
        <v>0</v>
      </c>
      <c r="O960" t="n">
        <v>0</v>
      </c>
      <c r="P960" t="n">
        <v>0</v>
      </c>
      <c r="Q960" t="n">
        <v>0</v>
      </c>
      <c r="R960" s="2" t="inlineStr"/>
    </row>
    <row r="961" ht="15" customHeight="1">
      <c r="A961" t="inlineStr">
        <is>
          <t>A 2694-2019</t>
        </is>
      </c>
      <c r="B961" s="1" t="n">
        <v>43472</v>
      </c>
      <c r="C961" s="1" t="n">
        <v>45210</v>
      </c>
      <c r="D961" t="inlineStr">
        <is>
          <t>DALARNAS LÄN</t>
        </is>
      </c>
      <c r="E961" t="inlineStr">
        <is>
          <t>RÄTTVIK</t>
        </is>
      </c>
      <c r="F961" t="inlineStr">
        <is>
          <t>Övriga statliga verk och myndigheter</t>
        </is>
      </c>
      <c r="G961" t="n">
        <v>2.4</v>
      </c>
      <c r="H961" t="n">
        <v>0</v>
      </c>
      <c r="I961" t="n">
        <v>0</v>
      </c>
      <c r="J961" t="n">
        <v>0</v>
      </c>
      <c r="K961" t="n">
        <v>0</v>
      </c>
      <c r="L961" t="n">
        <v>0</v>
      </c>
      <c r="M961" t="n">
        <v>0</v>
      </c>
      <c r="N961" t="n">
        <v>0</v>
      </c>
      <c r="O961" t="n">
        <v>0</v>
      </c>
      <c r="P961" t="n">
        <v>0</v>
      </c>
      <c r="Q961" t="n">
        <v>0</v>
      </c>
      <c r="R961" s="2" t="inlineStr"/>
    </row>
    <row r="962" ht="15" customHeight="1">
      <c r="A962" t="inlineStr">
        <is>
          <t>A 828-2019</t>
        </is>
      </c>
      <c r="B962" s="1" t="n">
        <v>43472</v>
      </c>
      <c r="C962" s="1" t="n">
        <v>45210</v>
      </c>
      <c r="D962" t="inlineStr">
        <is>
          <t>DALARNAS LÄN</t>
        </is>
      </c>
      <c r="E962" t="inlineStr">
        <is>
          <t>MORA</t>
        </is>
      </c>
      <c r="G962" t="n">
        <v>1.6</v>
      </c>
      <c r="H962" t="n">
        <v>0</v>
      </c>
      <c r="I962" t="n">
        <v>0</v>
      </c>
      <c r="J962" t="n">
        <v>0</v>
      </c>
      <c r="K962" t="n">
        <v>0</v>
      </c>
      <c r="L962" t="n">
        <v>0</v>
      </c>
      <c r="M962" t="n">
        <v>0</v>
      </c>
      <c r="N962" t="n">
        <v>0</v>
      </c>
      <c r="O962" t="n">
        <v>0</v>
      </c>
      <c r="P962" t="n">
        <v>0</v>
      </c>
      <c r="Q962" t="n">
        <v>0</v>
      </c>
      <c r="R962" s="2" t="inlineStr"/>
    </row>
    <row r="963" ht="15" customHeight="1">
      <c r="A963" t="inlineStr">
        <is>
          <t>A 1115-2019</t>
        </is>
      </c>
      <c r="B963" s="1" t="n">
        <v>43472</v>
      </c>
      <c r="C963" s="1" t="n">
        <v>45210</v>
      </c>
      <c r="D963" t="inlineStr">
        <is>
          <t>DALARNAS LÄN</t>
        </is>
      </c>
      <c r="E963" t="inlineStr">
        <is>
          <t>MALUNG-SÄLEN</t>
        </is>
      </c>
      <c r="G963" t="n">
        <v>3</v>
      </c>
      <c r="H963" t="n">
        <v>0</v>
      </c>
      <c r="I963" t="n">
        <v>0</v>
      </c>
      <c r="J963" t="n">
        <v>0</v>
      </c>
      <c r="K963" t="n">
        <v>0</v>
      </c>
      <c r="L963" t="n">
        <v>0</v>
      </c>
      <c r="M963" t="n">
        <v>0</v>
      </c>
      <c r="N963" t="n">
        <v>0</v>
      </c>
      <c r="O963" t="n">
        <v>0</v>
      </c>
      <c r="P963" t="n">
        <v>0</v>
      </c>
      <c r="Q963" t="n">
        <v>0</v>
      </c>
      <c r="R963" s="2" t="inlineStr"/>
    </row>
    <row r="964" ht="15" customHeight="1">
      <c r="A964" t="inlineStr">
        <is>
          <t>A 2769-2019</t>
        </is>
      </c>
      <c r="B964" s="1" t="n">
        <v>43472</v>
      </c>
      <c r="C964" s="1" t="n">
        <v>45210</v>
      </c>
      <c r="D964" t="inlineStr">
        <is>
          <t>DALARNAS LÄN</t>
        </is>
      </c>
      <c r="E964" t="inlineStr">
        <is>
          <t>RÄTTVIK</t>
        </is>
      </c>
      <c r="G964" t="n">
        <v>0.9</v>
      </c>
      <c r="H964" t="n">
        <v>0</v>
      </c>
      <c r="I964" t="n">
        <v>0</v>
      </c>
      <c r="J964" t="n">
        <v>0</v>
      </c>
      <c r="K964" t="n">
        <v>0</v>
      </c>
      <c r="L964" t="n">
        <v>0</v>
      </c>
      <c r="M964" t="n">
        <v>0</v>
      </c>
      <c r="N964" t="n">
        <v>0</v>
      </c>
      <c r="O964" t="n">
        <v>0</v>
      </c>
      <c r="P964" t="n">
        <v>0</v>
      </c>
      <c r="Q964" t="n">
        <v>0</v>
      </c>
      <c r="R964" s="2" t="inlineStr"/>
    </row>
    <row r="965" ht="15" customHeight="1">
      <c r="A965" t="inlineStr">
        <is>
          <t>A 947-2019</t>
        </is>
      </c>
      <c r="B965" s="1" t="n">
        <v>43472</v>
      </c>
      <c r="C965" s="1" t="n">
        <v>45210</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954-2019</t>
        </is>
      </c>
      <c r="B966" s="1" t="n">
        <v>43472</v>
      </c>
      <c r="C966" s="1" t="n">
        <v>45210</v>
      </c>
      <c r="D966" t="inlineStr">
        <is>
          <t>DALARNAS LÄN</t>
        </is>
      </c>
      <c r="E966" t="inlineStr">
        <is>
          <t>LUDVIKA</t>
        </is>
      </c>
      <c r="G966" t="n">
        <v>1</v>
      </c>
      <c r="H966" t="n">
        <v>0</v>
      </c>
      <c r="I966" t="n">
        <v>0</v>
      </c>
      <c r="J966" t="n">
        <v>0</v>
      </c>
      <c r="K966" t="n">
        <v>0</v>
      </c>
      <c r="L966" t="n">
        <v>0</v>
      </c>
      <c r="M966" t="n">
        <v>0</v>
      </c>
      <c r="N966" t="n">
        <v>0</v>
      </c>
      <c r="O966" t="n">
        <v>0</v>
      </c>
      <c r="P966" t="n">
        <v>0</v>
      </c>
      <c r="Q966" t="n">
        <v>0</v>
      </c>
      <c r="R966" s="2" t="inlineStr"/>
    </row>
    <row r="967" ht="15" customHeight="1">
      <c r="A967" t="inlineStr">
        <is>
          <t>A 777-2019</t>
        </is>
      </c>
      <c r="B967" s="1" t="n">
        <v>43472</v>
      </c>
      <c r="C967" s="1" t="n">
        <v>45210</v>
      </c>
      <c r="D967" t="inlineStr">
        <is>
          <t>DALARNAS LÄN</t>
        </is>
      </c>
      <c r="E967" t="inlineStr">
        <is>
          <t>GAGNEF</t>
        </is>
      </c>
      <c r="G967" t="n">
        <v>5.6</v>
      </c>
      <c r="H967" t="n">
        <v>0</v>
      </c>
      <c r="I967" t="n">
        <v>0</v>
      </c>
      <c r="J967" t="n">
        <v>0</v>
      </c>
      <c r="K967" t="n">
        <v>0</v>
      </c>
      <c r="L967" t="n">
        <v>0</v>
      </c>
      <c r="M967" t="n">
        <v>0</v>
      </c>
      <c r="N967" t="n">
        <v>0</v>
      </c>
      <c r="O967" t="n">
        <v>0</v>
      </c>
      <c r="P967" t="n">
        <v>0</v>
      </c>
      <c r="Q967" t="n">
        <v>0</v>
      </c>
      <c r="R967" s="2" t="inlineStr"/>
    </row>
    <row r="968" ht="15" customHeight="1">
      <c r="A968" t="inlineStr">
        <is>
          <t>A 932-2019</t>
        </is>
      </c>
      <c r="B968" s="1" t="n">
        <v>43472</v>
      </c>
      <c r="C968" s="1" t="n">
        <v>45210</v>
      </c>
      <c r="D968" t="inlineStr">
        <is>
          <t>DALARNAS LÄN</t>
        </is>
      </c>
      <c r="E968" t="inlineStr">
        <is>
          <t>ORSA</t>
        </is>
      </c>
      <c r="G968" t="n">
        <v>0.9</v>
      </c>
      <c r="H968" t="n">
        <v>0</v>
      </c>
      <c r="I968" t="n">
        <v>0</v>
      </c>
      <c r="J968" t="n">
        <v>0</v>
      </c>
      <c r="K968" t="n">
        <v>0</v>
      </c>
      <c r="L968" t="n">
        <v>0</v>
      </c>
      <c r="M968" t="n">
        <v>0</v>
      </c>
      <c r="N968" t="n">
        <v>0</v>
      </c>
      <c r="O968" t="n">
        <v>0</v>
      </c>
      <c r="P968" t="n">
        <v>0</v>
      </c>
      <c r="Q968" t="n">
        <v>0</v>
      </c>
      <c r="R968" s="2" t="inlineStr"/>
    </row>
    <row r="969" ht="15" customHeight="1">
      <c r="A969" t="inlineStr">
        <is>
          <t>A 1040-2019</t>
        </is>
      </c>
      <c r="B969" s="1" t="n">
        <v>43472</v>
      </c>
      <c r="C969" s="1" t="n">
        <v>45210</v>
      </c>
      <c r="D969" t="inlineStr">
        <is>
          <t>DALARNAS LÄN</t>
        </is>
      </c>
      <c r="E969" t="inlineStr">
        <is>
          <t>MALUNG-SÄLEN</t>
        </is>
      </c>
      <c r="G969" t="n">
        <v>0.9</v>
      </c>
      <c r="H969" t="n">
        <v>0</v>
      </c>
      <c r="I969" t="n">
        <v>0</v>
      </c>
      <c r="J969" t="n">
        <v>0</v>
      </c>
      <c r="K969" t="n">
        <v>0</v>
      </c>
      <c r="L969" t="n">
        <v>0</v>
      </c>
      <c r="M969" t="n">
        <v>0</v>
      </c>
      <c r="N969" t="n">
        <v>0</v>
      </c>
      <c r="O969" t="n">
        <v>0</v>
      </c>
      <c r="P969" t="n">
        <v>0</v>
      </c>
      <c r="Q969" t="n">
        <v>0</v>
      </c>
      <c r="R969" s="2" t="inlineStr"/>
    </row>
    <row r="970" ht="15" customHeight="1">
      <c r="A970" t="inlineStr">
        <is>
          <t>A 1270-2019</t>
        </is>
      </c>
      <c r="B970" s="1" t="n">
        <v>43473</v>
      </c>
      <c r="C970" s="1" t="n">
        <v>45210</v>
      </c>
      <c r="D970" t="inlineStr">
        <is>
          <t>DALARNAS LÄN</t>
        </is>
      </c>
      <c r="E970" t="inlineStr">
        <is>
          <t>AVESTA</t>
        </is>
      </c>
      <c r="G970" t="n">
        <v>2.5</v>
      </c>
      <c r="H970" t="n">
        <v>0</v>
      </c>
      <c r="I970" t="n">
        <v>0</v>
      </c>
      <c r="J970" t="n">
        <v>0</v>
      </c>
      <c r="K970" t="n">
        <v>0</v>
      </c>
      <c r="L970" t="n">
        <v>0</v>
      </c>
      <c r="M970" t="n">
        <v>0</v>
      </c>
      <c r="N970" t="n">
        <v>0</v>
      </c>
      <c r="O970" t="n">
        <v>0</v>
      </c>
      <c r="P970" t="n">
        <v>0</v>
      </c>
      <c r="Q970" t="n">
        <v>0</v>
      </c>
      <c r="R970" s="2" t="inlineStr"/>
    </row>
    <row r="971" ht="15" customHeight="1">
      <c r="A971" t="inlineStr">
        <is>
          <t>A 1331-2019</t>
        </is>
      </c>
      <c r="B971" s="1" t="n">
        <v>43473</v>
      </c>
      <c r="C971" s="1" t="n">
        <v>45210</v>
      </c>
      <c r="D971" t="inlineStr">
        <is>
          <t>DALARNAS LÄN</t>
        </is>
      </c>
      <c r="E971" t="inlineStr">
        <is>
          <t>RÄTTVIK</t>
        </is>
      </c>
      <c r="G971" t="n">
        <v>2.5</v>
      </c>
      <c r="H971" t="n">
        <v>0</v>
      </c>
      <c r="I971" t="n">
        <v>0</v>
      </c>
      <c r="J971" t="n">
        <v>0</v>
      </c>
      <c r="K971" t="n">
        <v>0</v>
      </c>
      <c r="L971" t="n">
        <v>0</v>
      </c>
      <c r="M971" t="n">
        <v>0</v>
      </c>
      <c r="N971" t="n">
        <v>0</v>
      </c>
      <c r="O971" t="n">
        <v>0</v>
      </c>
      <c r="P971" t="n">
        <v>0</v>
      </c>
      <c r="Q971" t="n">
        <v>0</v>
      </c>
      <c r="R971" s="2" t="inlineStr"/>
    </row>
    <row r="972" ht="15" customHeight="1">
      <c r="A972" t="inlineStr">
        <is>
          <t>A 1374-2019</t>
        </is>
      </c>
      <c r="B972" s="1" t="n">
        <v>43473</v>
      </c>
      <c r="C972" s="1" t="n">
        <v>45210</v>
      </c>
      <c r="D972" t="inlineStr">
        <is>
          <t>DALARNAS LÄN</t>
        </is>
      </c>
      <c r="E972" t="inlineStr">
        <is>
          <t>BORLÄNGE</t>
        </is>
      </c>
      <c r="G972" t="n">
        <v>4</v>
      </c>
      <c r="H972" t="n">
        <v>0</v>
      </c>
      <c r="I972" t="n">
        <v>0</v>
      </c>
      <c r="J972" t="n">
        <v>0</v>
      </c>
      <c r="K972" t="n">
        <v>0</v>
      </c>
      <c r="L972" t="n">
        <v>0</v>
      </c>
      <c r="M972" t="n">
        <v>0</v>
      </c>
      <c r="N972" t="n">
        <v>0</v>
      </c>
      <c r="O972" t="n">
        <v>0</v>
      </c>
      <c r="P972" t="n">
        <v>0</v>
      </c>
      <c r="Q972" t="n">
        <v>0</v>
      </c>
      <c r="R972" s="2" t="inlineStr"/>
    </row>
    <row r="973" ht="15" customHeight="1">
      <c r="A973" t="inlineStr">
        <is>
          <t>A 1243-2019</t>
        </is>
      </c>
      <c r="B973" s="1" t="n">
        <v>43473</v>
      </c>
      <c r="C973" s="1" t="n">
        <v>45210</v>
      </c>
      <c r="D973" t="inlineStr">
        <is>
          <t>DALARNAS LÄN</t>
        </is>
      </c>
      <c r="E973" t="inlineStr">
        <is>
          <t>ORSA</t>
        </is>
      </c>
      <c r="G973" t="n">
        <v>1.5</v>
      </c>
      <c r="H973" t="n">
        <v>0</v>
      </c>
      <c r="I973" t="n">
        <v>0</v>
      </c>
      <c r="J973" t="n">
        <v>0</v>
      </c>
      <c r="K973" t="n">
        <v>0</v>
      </c>
      <c r="L973" t="n">
        <v>0</v>
      </c>
      <c r="M973" t="n">
        <v>0</v>
      </c>
      <c r="N973" t="n">
        <v>0</v>
      </c>
      <c r="O973" t="n">
        <v>0</v>
      </c>
      <c r="P973" t="n">
        <v>0</v>
      </c>
      <c r="Q973" t="n">
        <v>0</v>
      </c>
      <c r="R973" s="2" t="inlineStr"/>
    </row>
    <row r="974" ht="15" customHeight="1">
      <c r="A974" t="inlineStr">
        <is>
          <t>A 1342-2019</t>
        </is>
      </c>
      <c r="B974" s="1" t="n">
        <v>43473</v>
      </c>
      <c r="C974" s="1" t="n">
        <v>45210</v>
      </c>
      <c r="D974" t="inlineStr">
        <is>
          <t>DALARNAS LÄN</t>
        </is>
      </c>
      <c r="E974" t="inlineStr">
        <is>
          <t>MALUNG-SÄLEN</t>
        </is>
      </c>
      <c r="G974" t="n">
        <v>7.7</v>
      </c>
      <c r="H974" t="n">
        <v>0</v>
      </c>
      <c r="I974" t="n">
        <v>0</v>
      </c>
      <c r="J974" t="n">
        <v>0</v>
      </c>
      <c r="K974" t="n">
        <v>0</v>
      </c>
      <c r="L974" t="n">
        <v>0</v>
      </c>
      <c r="M974" t="n">
        <v>0</v>
      </c>
      <c r="N974" t="n">
        <v>0</v>
      </c>
      <c r="O974" t="n">
        <v>0</v>
      </c>
      <c r="P974" t="n">
        <v>0</v>
      </c>
      <c r="Q974" t="n">
        <v>0</v>
      </c>
      <c r="R974" s="2" t="inlineStr"/>
    </row>
    <row r="975" ht="15" customHeight="1">
      <c r="A975" t="inlineStr">
        <is>
          <t>A 1382-2019</t>
        </is>
      </c>
      <c r="B975" s="1" t="n">
        <v>43473</v>
      </c>
      <c r="C975" s="1" t="n">
        <v>45210</v>
      </c>
      <c r="D975" t="inlineStr">
        <is>
          <t>DALARNAS LÄN</t>
        </is>
      </c>
      <c r="E975" t="inlineStr">
        <is>
          <t>BORLÄNGE</t>
        </is>
      </c>
      <c r="G975" t="n">
        <v>2.1</v>
      </c>
      <c r="H975" t="n">
        <v>0</v>
      </c>
      <c r="I975" t="n">
        <v>0</v>
      </c>
      <c r="J975" t="n">
        <v>0</v>
      </c>
      <c r="K975" t="n">
        <v>0</v>
      </c>
      <c r="L975" t="n">
        <v>0</v>
      </c>
      <c r="M975" t="n">
        <v>0</v>
      </c>
      <c r="N975" t="n">
        <v>0</v>
      </c>
      <c r="O975" t="n">
        <v>0</v>
      </c>
      <c r="P975" t="n">
        <v>0</v>
      </c>
      <c r="Q975" t="n">
        <v>0</v>
      </c>
      <c r="R975" s="2" t="inlineStr"/>
    </row>
    <row r="976" ht="15" customHeight="1">
      <c r="A976" t="inlineStr">
        <is>
          <t>A 1474-2019</t>
        </is>
      </c>
      <c r="B976" s="1" t="n">
        <v>43473</v>
      </c>
      <c r="C976" s="1" t="n">
        <v>45210</v>
      </c>
      <c r="D976" t="inlineStr">
        <is>
          <t>DALARNAS LÄN</t>
        </is>
      </c>
      <c r="E976" t="inlineStr">
        <is>
          <t>LUDVIKA</t>
        </is>
      </c>
      <c r="G976" t="n">
        <v>1</v>
      </c>
      <c r="H976" t="n">
        <v>0</v>
      </c>
      <c r="I976" t="n">
        <v>0</v>
      </c>
      <c r="J976" t="n">
        <v>0</v>
      </c>
      <c r="K976" t="n">
        <v>0</v>
      </c>
      <c r="L976" t="n">
        <v>0</v>
      </c>
      <c r="M976" t="n">
        <v>0</v>
      </c>
      <c r="N976" t="n">
        <v>0</v>
      </c>
      <c r="O976" t="n">
        <v>0</v>
      </c>
      <c r="P976" t="n">
        <v>0</v>
      </c>
      <c r="Q976" t="n">
        <v>0</v>
      </c>
      <c r="R976" s="2" t="inlineStr"/>
    </row>
    <row r="977" ht="15" customHeight="1">
      <c r="A977" t="inlineStr">
        <is>
          <t>A 3336-2019</t>
        </is>
      </c>
      <c r="B977" s="1" t="n">
        <v>43474</v>
      </c>
      <c r="C977" s="1" t="n">
        <v>45210</v>
      </c>
      <c r="D977" t="inlineStr">
        <is>
          <t>DALARNAS LÄN</t>
        </is>
      </c>
      <c r="E977" t="inlineStr">
        <is>
          <t>LUDVIKA</t>
        </is>
      </c>
      <c r="G977" t="n">
        <v>1.9</v>
      </c>
      <c r="H977" t="n">
        <v>0</v>
      </c>
      <c r="I977" t="n">
        <v>0</v>
      </c>
      <c r="J977" t="n">
        <v>0</v>
      </c>
      <c r="K977" t="n">
        <v>0</v>
      </c>
      <c r="L977" t="n">
        <v>0</v>
      </c>
      <c r="M977" t="n">
        <v>0</v>
      </c>
      <c r="N977" t="n">
        <v>0</v>
      </c>
      <c r="O977" t="n">
        <v>0</v>
      </c>
      <c r="P977" t="n">
        <v>0</v>
      </c>
      <c r="Q977" t="n">
        <v>0</v>
      </c>
      <c r="R977" s="2" t="inlineStr"/>
    </row>
    <row r="978" ht="15" customHeight="1">
      <c r="A978" t="inlineStr">
        <is>
          <t>A 1777-2019</t>
        </is>
      </c>
      <c r="B978" s="1" t="n">
        <v>43474</v>
      </c>
      <c r="C978" s="1" t="n">
        <v>45210</v>
      </c>
      <c r="D978" t="inlineStr">
        <is>
          <t>DALARNAS LÄN</t>
        </is>
      </c>
      <c r="E978" t="inlineStr">
        <is>
          <t>MORA</t>
        </is>
      </c>
      <c r="G978" t="n">
        <v>36.1</v>
      </c>
      <c r="H978" t="n">
        <v>0</v>
      </c>
      <c r="I978" t="n">
        <v>0</v>
      </c>
      <c r="J978" t="n">
        <v>0</v>
      </c>
      <c r="K978" t="n">
        <v>0</v>
      </c>
      <c r="L978" t="n">
        <v>0</v>
      </c>
      <c r="M978" t="n">
        <v>0</v>
      </c>
      <c r="N978" t="n">
        <v>0</v>
      </c>
      <c r="O978" t="n">
        <v>0</v>
      </c>
      <c r="P978" t="n">
        <v>0</v>
      </c>
      <c r="Q978" t="n">
        <v>0</v>
      </c>
      <c r="R978" s="2" t="inlineStr"/>
    </row>
    <row r="979" ht="15" customHeight="1">
      <c r="A979" t="inlineStr">
        <is>
          <t>A 1801-2019</t>
        </is>
      </c>
      <c r="B979" s="1" t="n">
        <v>43474</v>
      </c>
      <c r="C979" s="1" t="n">
        <v>45210</v>
      </c>
      <c r="D979" t="inlineStr">
        <is>
          <t>DALARNAS LÄN</t>
        </is>
      </c>
      <c r="E979" t="inlineStr">
        <is>
          <t>MORA</t>
        </is>
      </c>
      <c r="G979" t="n">
        <v>2.8</v>
      </c>
      <c r="H979" t="n">
        <v>0</v>
      </c>
      <c r="I979" t="n">
        <v>0</v>
      </c>
      <c r="J979" t="n">
        <v>0</v>
      </c>
      <c r="K979" t="n">
        <v>0</v>
      </c>
      <c r="L979" t="n">
        <v>0</v>
      </c>
      <c r="M979" t="n">
        <v>0</v>
      </c>
      <c r="N979" t="n">
        <v>0</v>
      </c>
      <c r="O979" t="n">
        <v>0</v>
      </c>
      <c r="P979" t="n">
        <v>0</v>
      </c>
      <c r="Q979" t="n">
        <v>0</v>
      </c>
      <c r="R979" s="2" t="inlineStr"/>
    </row>
    <row r="980" ht="15" customHeight="1">
      <c r="A980" t="inlineStr">
        <is>
          <t>A 3319-2019</t>
        </is>
      </c>
      <c r="B980" s="1" t="n">
        <v>43474</v>
      </c>
      <c r="C980" s="1" t="n">
        <v>45210</v>
      </c>
      <c r="D980" t="inlineStr">
        <is>
          <t>DALARNAS LÄN</t>
        </is>
      </c>
      <c r="E980" t="inlineStr">
        <is>
          <t>LUDVIKA</t>
        </is>
      </c>
      <c r="G980" t="n">
        <v>1.5</v>
      </c>
      <c r="H980" t="n">
        <v>0</v>
      </c>
      <c r="I980" t="n">
        <v>0</v>
      </c>
      <c r="J980" t="n">
        <v>0</v>
      </c>
      <c r="K980" t="n">
        <v>0</v>
      </c>
      <c r="L980" t="n">
        <v>0</v>
      </c>
      <c r="M980" t="n">
        <v>0</v>
      </c>
      <c r="N980" t="n">
        <v>0</v>
      </c>
      <c r="O980" t="n">
        <v>0</v>
      </c>
      <c r="P980" t="n">
        <v>0</v>
      </c>
      <c r="Q980" t="n">
        <v>0</v>
      </c>
      <c r="R980" s="2" t="inlineStr"/>
    </row>
    <row r="981" ht="15" customHeight="1">
      <c r="A981" t="inlineStr">
        <is>
          <t>A 3349-2019</t>
        </is>
      </c>
      <c r="B981" s="1" t="n">
        <v>43474</v>
      </c>
      <c r="C981" s="1" t="n">
        <v>45210</v>
      </c>
      <c r="D981" t="inlineStr">
        <is>
          <t>DALARNAS LÄN</t>
        </is>
      </c>
      <c r="E981" t="inlineStr">
        <is>
          <t>HEDEMORA</t>
        </is>
      </c>
      <c r="F981" t="inlineStr">
        <is>
          <t>Sveaskog</t>
        </is>
      </c>
      <c r="G981" t="n">
        <v>1.8</v>
      </c>
      <c r="H981" t="n">
        <v>0</v>
      </c>
      <c r="I981" t="n">
        <v>0</v>
      </c>
      <c r="J981" t="n">
        <v>0</v>
      </c>
      <c r="K981" t="n">
        <v>0</v>
      </c>
      <c r="L981" t="n">
        <v>0</v>
      </c>
      <c r="M981" t="n">
        <v>0</v>
      </c>
      <c r="N981" t="n">
        <v>0</v>
      </c>
      <c r="O981" t="n">
        <v>0</v>
      </c>
      <c r="P981" t="n">
        <v>0</v>
      </c>
      <c r="Q981" t="n">
        <v>0</v>
      </c>
      <c r="R981" s="2" t="inlineStr"/>
    </row>
    <row r="982" ht="15" customHeight="1">
      <c r="A982" t="inlineStr">
        <is>
          <t>A 1652-2019</t>
        </is>
      </c>
      <c r="B982" s="1" t="n">
        <v>43474</v>
      </c>
      <c r="C982" s="1" t="n">
        <v>45210</v>
      </c>
      <c r="D982" t="inlineStr">
        <is>
          <t>DALARNAS LÄN</t>
        </is>
      </c>
      <c r="E982" t="inlineStr">
        <is>
          <t>GAGNEF</t>
        </is>
      </c>
      <c r="G982" t="n">
        <v>5</v>
      </c>
      <c r="H982" t="n">
        <v>0</v>
      </c>
      <c r="I982" t="n">
        <v>0</v>
      </c>
      <c r="J982" t="n">
        <v>0</v>
      </c>
      <c r="K982" t="n">
        <v>0</v>
      </c>
      <c r="L982" t="n">
        <v>0</v>
      </c>
      <c r="M982" t="n">
        <v>0</v>
      </c>
      <c r="N982" t="n">
        <v>0</v>
      </c>
      <c r="O982" t="n">
        <v>0</v>
      </c>
      <c r="P982" t="n">
        <v>0</v>
      </c>
      <c r="Q982" t="n">
        <v>0</v>
      </c>
      <c r="R982" s="2" t="inlineStr"/>
    </row>
    <row r="983" ht="15" customHeight="1">
      <c r="A983" t="inlineStr">
        <is>
          <t>A 1745-2019</t>
        </is>
      </c>
      <c r="B983" s="1" t="n">
        <v>43474</v>
      </c>
      <c r="C983" s="1" t="n">
        <v>45210</v>
      </c>
      <c r="D983" t="inlineStr">
        <is>
          <t>DALARNAS LÄN</t>
        </is>
      </c>
      <c r="E983" t="inlineStr">
        <is>
          <t>LUDVIKA</t>
        </is>
      </c>
      <c r="F983" t="inlineStr">
        <is>
          <t>Naturvårdsverket</t>
        </is>
      </c>
      <c r="G983" t="n">
        <v>8.199999999999999</v>
      </c>
      <c r="H983" t="n">
        <v>0</v>
      </c>
      <c r="I983" t="n">
        <v>0</v>
      </c>
      <c r="J983" t="n">
        <v>0</v>
      </c>
      <c r="K983" t="n">
        <v>0</v>
      </c>
      <c r="L983" t="n">
        <v>0</v>
      </c>
      <c r="M983" t="n">
        <v>0</v>
      </c>
      <c r="N983" t="n">
        <v>0</v>
      </c>
      <c r="O983" t="n">
        <v>0</v>
      </c>
      <c r="P983" t="n">
        <v>0</v>
      </c>
      <c r="Q983" t="n">
        <v>0</v>
      </c>
      <c r="R983" s="2" t="inlineStr"/>
    </row>
    <row r="984" ht="15" customHeight="1">
      <c r="A984" t="inlineStr">
        <is>
          <t>A 2032-2019</t>
        </is>
      </c>
      <c r="B984" s="1" t="n">
        <v>43475</v>
      </c>
      <c r="C984" s="1" t="n">
        <v>45210</v>
      </c>
      <c r="D984" t="inlineStr">
        <is>
          <t>DALARNAS LÄN</t>
        </is>
      </c>
      <c r="E984" t="inlineStr">
        <is>
          <t>ÄLVDALEN</t>
        </is>
      </c>
      <c r="G984" t="n">
        <v>3</v>
      </c>
      <c r="H984" t="n">
        <v>0</v>
      </c>
      <c r="I984" t="n">
        <v>0</v>
      </c>
      <c r="J984" t="n">
        <v>0</v>
      </c>
      <c r="K984" t="n">
        <v>0</v>
      </c>
      <c r="L984" t="n">
        <v>0</v>
      </c>
      <c r="M984" t="n">
        <v>0</v>
      </c>
      <c r="N984" t="n">
        <v>0</v>
      </c>
      <c r="O984" t="n">
        <v>0</v>
      </c>
      <c r="P984" t="n">
        <v>0</v>
      </c>
      <c r="Q984" t="n">
        <v>0</v>
      </c>
      <c r="R984" s="2" t="inlineStr"/>
    </row>
    <row r="985" ht="15" customHeight="1">
      <c r="A985" t="inlineStr">
        <is>
          <t>A 2051-2019</t>
        </is>
      </c>
      <c r="B985" s="1" t="n">
        <v>43475</v>
      </c>
      <c r="C985" s="1" t="n">
        <v>45210</v>
      </c>
      <c r="D985" t="inlineStr">
        <is>
          <t>DALARNAS LÄN</t>
        </is>
      </c>
      <c r="E985" t="inlineStr">
        <is>
          <t>ÄLVDALEN</t>
        </is>
      </c>
      <c r="G985" t="n">
        <v>1.7</v>
      </c>
      <c r="H985" t="n">
        <v>0</v>
      </c>
      <c r="I985" t="n">
        <v>0</v>
      </c>
      <c r="J985" t="n">
        <v>0</v>
      </c>
      <c r="K985" t="n">
        <v>0</v>
      </c>
      <c r="L985" t="n">
        <v>0</v>
      </c>
      <c r="M985" t="n">
        <v>0</v>
      </c>
      <c r="N985" t="n">
        <v>0</v>
      </c>
      <c r="O985" t="n">
        <v>0</v>
      </c>
      <c r="P985" t="n">
        <v>0</v>
      </c>
      <c r="Q985" t="n">
        <v>0</v>
      </c>
      <c r="R985" s="2" t="inlineStr"/>
    </row>
    <row r="986" ht="15" customHeight="1">
      <c r="A986" t="inlineStr">
        <is>
          <t>A 2193-2019</t>
        </is>
      </c>
      <c r="B986" s="1" t="n">
        <v>43475</v>
      </c>
      <c r="C986" s="1" t="n">
        <v>45210</v>
      </c>
      <c r="D986" t="inlineStr">
        <is>
          <t>DALARNAS LÄN</t>
        </is>
      </c>
      <c r="E986" t="inlineStr">
        <is>
          <t>FALUN</t>
        </is>
      </c>
      <c r="G986" t="n">
        <v>2.2</v>
      </c>
      <c r="H986" t="n">
        <v>0</v>
      </c>
      <c r="I986" t="n">
        <v>0</v>
      </c>
      <c r="J986" t="n">
        <v>0</v>
      </c>
      <c r="K986" t="n">
        <v>0</v>
      </c>
      <c r="L986" t="n">
        <v>0</v>
      </c>
      <c r="M986" t="n">
        <v>0</v>
      </c>
      <c r="N986" t="n">
        <v>0</v>
      </c>
      <c r="O986" t="n">
        <v>0</v>
      </c>
      <c r="P986" t="n">
        <v>0</v>
      </c>
      <c r="Q986" t="n">
        <v>0</v>
      </c>
      <c r="R986" s="2" t="inlineStr"/>
    </row>
    <row r="987" ht="15" customHeight="1">
      <c r="A987" t="inlineStr">
        <is>
          <t>A 3892-2019</t>
        </is>
      </c>
      <c r="B987" s="1" t="n">
        <v>43475</v>
      </c>
      <c r="C987" s="1" t="n">
        <v>45210</v>
      </c>
      <c r="D987" t="inlineStr">
        <is>
          <t>DALARNAS LÄN</t>
        </is>
      </c>
      <c r="E987" t="inlineStr">
        <is>
          <t>RÄTTVIK</t>
        </is>
      </c>
      <c r="G987" t="n">
        <v>5.7</v>
      </c>
      <c r="H987" t="n">
        <v>0</v>
      </c>
      <c r="I987" t="n">
        <v>0</v>
      </c>
      <c r="J987" t="n">
        <v>0</v>
      </c>
      <c r="K987" t="n">
        <v>0</v>
      </c>
      <c r="L987" t="n">
        <v>0</v>
      </c>
      <c r="M987" t="n">
        <v>0</v>
      </c>
      <c r="N987" t="n">
        <v>0</v>
      </c>
      <c r="O987" t="n">
        <v>0</v>
      </c>
      <c r="P987" t="n">
        <v>0</v>
      </c>
      <c r="Q987" t="n">
        <v>0</v>
      </c>
      <c r="R987" s="2" t="inlineStr"/>
    </row>
    <row r="988" ht="15" customHeight="1">
      <c r="A988" t="inlineStr">
        <is>
          <t>A 2338-2019</t>
        </is>
      </c>
      <c r="B988" s="1" t="n">
        <v>43476</v>
      </c>
      <c r="C988" s="1" t="n">
        <v>45210</v>
      </c>
      <c r="D988" t="inlineStr">
        <is>
          <t>DALARNAS LÄN</t>
        </is>
      </c>
      <c r="E988" t="inlineStr">
        <is>
          <t>SÄTER</t>
        </is>
      </c>
      <c r="G988" t="n">
        <v>4.6</v>
      </c>
      <c r="H988" t="n">
        <v>0</v>
      </c>
      <c r="I988" t="n">
        <v>0</v>
      </c>
      <c r="J988" t="n">
        <v>0</v>
      </c>
      <c r="K988" t="n">
        <v>0</v>
      </c>
      <c r="L988" t="n">
        <v>0</v>
      </c>
      <c r="M988" t="n">
        <v>0</v>
      </c>
      <c r="N988" t="n">
        <v>0</v>
      </c>
      <c r="O988" t="n">
        <v>0</v>
      </c>
      <c r="P988" t="n">
        <v>0</v>
      </c>
      <c r="Q988" t="n">
        <v>0</v>
      </c>
      <c r="R988" s="2" t="inlineStr"/>
    </row>
    <row r="989" ht="15" customHeight="1">
      <c r="A989" t="inlineStr">
        <is>
          <t>A 2463-2019</t>
        </is>
      </c>
      <c r="B989" s="1" t="n">
        <v>43476</v>
      </c>
      <c r="C989" s="1" t="n">
        <v>45210</v>
      </c>
      <c r="D989" t="inlineStr">
        <is>
          <t>DALARNAS LÄN</t>
        </is>
      </c>
      <c r="E989" t="inlineStr">
        <is>
          <t>MALUNG-SÄLEN</t>
        </is>
      </c>
      <c r="G989" t="n">
        <v>1.2</v>
      </c>
      <c r="H989" t="n">
        <v>0</v>
      </c>
      <c r="I989" t="n">
        <v>0</v>
      </c>
      <c r="J989" t="n">
        <v>0</v>
      </c>
      <c r="K989" t="n">
        <v>0</v>
      </c>
      <c r="L989" t="n">
        <v>0</v>
      </c>
      <c r="M989" t="n">
        <v>0</v>
      </c>
      <c r="N989" t="n">
        <v>0</v>
      </c>
      <c r="O989" t="n">
        <v>0</v>
      </c>
      <c r="P989" t="n">
        <v>0</v>
      </c>
      <c r="Q989" t="n">
        <v>0</v>
      </c>
      <c r="R989" s="2" t="inlineStr"/>
    </row>
    <row r="990" ht="15" customHeight="1">
      <c r="A990" t="inlineStr">
        <is>
          <t>A 3999-2019</t>
        </is>
      </c>
      <c r="B990" s="1" t="n">
        <v>43476</v>
      </c>
      <c r="C990" s="1" t="n">
        <v>45210</v>
      </c>
      <c r="D990" t="inlineStr">
        <is>
          <t>DALARNAS LÄN</t>
        </is>
      </c>
      <c r="E990" t="inlineStr">
        <is>
          <t>MORA</t>
        </is>
      </c>
      <c r="G990" t="n">
        <v>7.4</v>
      </c>
      <c r="H990" t="n">
        <v>0</v>
      </c>
      <c r="I990" t="n">
        <v>0</v>
      </c>
      <c r="J990" t="n">
        <v>0</v>
      </c>
      <c r="K990" t="n">
        <v>0</v>
      </c>
      <c r="L990" t="n">
        <v>0</v>
      </c>
      <c r="M990" t="n">
        <v>0</v>
      </c>
      <c r="N990" t="n">
        <v>0</v>
      </c>
      <c r="O990" t="n">
        <v>0</v>
      </c>
      <c r="P990" t="n">
        <v>0</v>
      </c>
      <c r="Q990" t="n">
        <v>0</v>
      </c>
      <c r="R990" s="2" t="inlineStr"/>
    </row>
    <row r="991" ht="15" customHeight="1">
      <c r="A991" t="inlineStr">
        <is>
          <t>A 2537-2019</t>
        </is>
      </c>
      <c r="B991" s="1" t="n">
        <v>43476</v>
      </c>
      <c r="C991" s="1" t="n">
        <v>45210</v>
      </c>
      <c r="D991" t="inlineStr">
        <is>
          <t>DALARNAS LÄN</t>
        </is>
      </c>
      <c r="E991" t="inlineStr">
        <is>
          <t>SÄTER</t>
        </is>
      </c>
      <c r="G991" t="n">
        <v>11.9</v>
      </c>
      <c r="H991" t="n">
        <v>0</v>
      </c>
      <c r="I991" t="n">
        <v>0</v>
      </c>
      <c r="J991" t="n">
        <v>0</v>
      </c>
      <c r="K991" t="n">
        <v>0</v>
      </c>
      <c r="L991" t="n">
        <v>0</v>
      </c>
      <c r="M991" t="n">
        <v>0</v>
      </c>
      <c r="N991" t="n">
        <v>0</v>
      </c>
      <c r="O991" t="n">
        <v>0</v>
      </c>
      <c r="P991" t="n">
        <v>0</v>
      </c>
      <c r="Q991" t="n">
        <v>0</v>
      </c>
      <c r="R991" s="2" t="inlineStr"/>
    </row>
    <row r="992" ht="15" customHeight="1">
      <c r="A992" t="inlineStr">
        <is>
          <t>A 4143-2019</t>
        </is>
      </c>
      <c r="B992" s="1" t="n">
        <v>43476</v>
      </c>
      <c r="C992" s="1" t="n">
        <v>45210</v>
      </c>
      <c r="D992" t="inlineStr">
        <is>
          <t>DALARNAS LÄN</t>
        </is>
      </c>
      <c r="E992" t="inlineStr">
        <is>
          <t>ORSA</t>
        </is>
      </c>
      <c r="G992" t="n">
        <v>2.2</v>
      </c>
      <c r="H992" t="n">
        <v>0</v>
      </c>
      <c r="I992" t="n">
        <v>0</v>
      </c>
      <c r="J992" t="n">
        <v>0</v>
      </c>
      <c r="K992" t="n">
        <v>0</v>
      </c>
      <c r="L992" t="n">
        <v>0</v>
      </c>
      <c r="M992" t="n">
        <v>0</v>
      </c>
      <c r="N992" t="n">
        <v>0</v>
      </c>
      <c r="O992" t="n">
        <v>0</v>
      </c>
      <c r="P992" t="n">
        <v>0</v>
      </c>
      <c r="Q992" t="n">
        <v>0</v>
      </c>
      <c r="R992" s="2" t="inlineStr"/>
    </row>
    <row r="993" ht="15" customHeight="1">
      <c r="A993" t="inlineStr">
        <is>
          <t>A 2330-2019</t>
        </is>
      </c>
      <c r="B993" s="1" t="n">
        <v>43476</v>
      </c>
      <c r="C993" s="1" t="n">
        <v>45210</v>
      </c>
      <c r="D993" t="inlineStr">
        <is>
          <t>DALARNAS LÄN</t>
        </is>
      </c>
      <c r="E993" t="inlineStr">
        <is>
          <t>GAGNEF</t>
        </is>
      </c>
      <c r="G993" t="n">
        <v>2</v>
      </c>
      <c r="H993" t="n">
        <v>0</v>
      </c>
      <c r="I993" t="n">
        <v>0</v>
      </c>
      <c r="J993" t="n">
        <v>0</v>
      </c>
      <c r="K993" t="n">
        <v>0</v>
      </c>
      <c r="L993" t="n">
        <v>0</v>
      </c>
      <c r="M993" t="n">
        <v>0</v>
      </c>
      <c r="N993" t="n">
        <v>0</v>
      </c>
      <c r="O993" t="n">
        <v>0</v>
      </c>
      <c r="P993" t="n">
        <v>0</v>
      </c>
      <c r="Q993" t="n">
        <v>0</v>
      </c>
      <c r="R993" s="2" t="inlineStr"/>
    </row>
    <row r="994" ht="15" customHeight="1">
      <c r="A994" t="inlineStr">
        <is>
          <t>A 4145-2019</t>
        </is>
      </c>
      <c r="B994" s="1" t="n">
        <v>43476</v>
      </c>
      <c r="C994" s="1" t="n">
        <v>45210</v>
      </c>
      <c r="D994" t="inlineStr">
        <is>
          <t>DALARNAS LÄN</t>
        </is>
      </c>
      <c r="E994" t="inlineStr">
        <is>
          <t>ORSA</t>
        </is>
      </c>
      <c r="G994" t="n">
        <v>2.4</v>
      </c>
      <c r="H994" t="n">
        <v>0</v>
      </c>
      <c r="I994" t="n">
        <v>0</v>
      </c>
      <c r="J994" t="n">
        <v>0</v>
      </c>
      <c r="K994" t="n">
        <v>0</v>
      </c>
      <c r="L994" t="n">
        <v>0</v>
      </c>
      <c r="M994" t="n">
        <v>0</v>
      </c>
      <c r="N994" t="n">
        <v>0</v>
      </c>
      <c r="O994" t="n">
        <v>0</v>
      </c>
      <c r="P994" t="n">
        <v>0</v>
      </c>
      <c r="Q994" t="n">
        <v>0</v>
      </c>
      <c r="R994" s="2" t="inlineStr"/>
    </row>
    <row r="995" ht="15" customHeight="1">
      <c r="A995" t="inlineStr">
        <is>
          <t>A 2666-2019</t>
        </is>
      </c>
      <c r="B995" s="1" t="n">
        <v>43478</v>
      </c>
      <c r="C995" s="1" t="n">
        <v>45210</v>
      </c>
      <c r="D995" t="inlineStr">
        <is>
          <t>DALARNAS LÄN</t>
        </is>
      </c>
      <c r="E995" t="inlineStr">
        <is>
          <t>LEKSAND</t>
        </is>
      </c>
      <c r="G995" t="n">
        <v>0.7</v>
      </c>
      <c r="H995" t="n">
        <v>0</v>
      </c>
      <c r="I995" t="n">
        <v>0</v>
      </c>
      <c r="J995" t="n">
        <v>0</v>
      </c>
      <c r="K995" t="n">
        <v>0</v>
      </c>
      <c r="L995" t="n">
        <v>0</v>
      </c>
      <c r="M995" t="n">
        <v>0</v>
      </c>
      <c r="N995" t="n">
        <v>0</v>
      </c>
      <c r="O995" t="n">
        <v>0</v>
      </c>
      <c r="P995" t="n">
        <v>0</v>
      </c>
      <c r="Q995" t="n">
        <v>0</v>
      </c>
      <c r="R995" s="2" t="inlineStr"/>
    </row>
    <row r="996" ht="15" customHeight="1">
      <c r="A996" t="inlineStr">
        <is>
          <t>A 4484-2019</t>
        </is>
      </c>
      <c r="B996" s="1" t="n">
        <v>43479</v>
      </c>
      <c r="C996" s="1" t="n">
        <v>45210</v>
      </c>
      <c r="D996" t="inlineStr">
        <is>
          <t>DALARNAS LÄN</t>
        </is>
      </c>
      <c r="E996" t="inlineStr">
        <is>
          <t>ORSA</t>
        </is>
      </c>
      <c r="G996" t="n">
        <v>3</v>
      </c>
      <c r="H996" t="n">
        <v>0</v>
      </c>
      <c r="I996" t="n">
        <v>0</v>
      </c>
      <c r="J996" t="n">
        <v>0</v>
      </c>
      <c r="K996" t="n">
        <v>0</v>
      </c>
      <c r="L996" t="n">
        <v>0</v>
      </c>
      <c r="M996" t="n">
        <v>0</v>
      </c>
      <c r="N996" t="n">
        <v>0</v>
      </c>
      <c r="O996" t="n">
        <v>0</v>
      </c>
      <c r="P996" t="n">
        <v>0</v>
      </c>
      <c r="Q996" t="n">
        <v>0</v>
      </c>
      <c r="R996" s="2" t="inlineStr"/>
    </row>
    <row r="997" ht="15" customHeight="1">
      <c r="A997" t="inlineStr">
        <is>
          <t>A 2789-2019</t>
        </is>
      </c>
      <c r="B997" s="1" t="n">
        <v>43479</v>
      </c>
      <c r="C997" s="1" t="n">
        <v>45210</v>
      </c>
      <c r="D997" t="inlineStr">
        <is>
          <t>DALARNAS LÄN</t>
        </is>
      </c>
      <c r="E997" t="inlineStr">
        <is>
          <t>SÄTER</t>
        </is>
      </c>
      <c r="G997" t="n">
        <v>2.1</v>
      </c>
      <c r="H997" t="n">
        <v>0</v>
      </c>
      <c r="I997" t="n">
        <v>0</v>
      </c>
      <c r="J997" t="n">
        <v>0</v>
      </c>
      <c r="K997" t="n">
        <v>0</v>
      </c>
      <c r="L997" t="n">
        <v>0</v>
      </c>
      <c r="M997" t="n">
        <v>0</v>
      </c>
      <c r="N997" t="n">
        <v>0</v>
      </c>
      <c r="O997" t="n">
        <v>0</v>
      </c>
      <c r="P997" t="n">
        <v>0</v>
      </c>
      <c r="Q997" t="n">
        <v>0</v>
      </c>
      <c r="R997" s="2" t="inlineStr"/>
    </row>
    <row r="998" ht="15" customHeight="1">
      <c r="A998" t="inlineStr">
        <is>
          <t>A 4497-2019</t>
        </is>
      </c>
      <c r="B998" s="1" t="n">
        <v>43479</v>
      </c>
      <c r="C998" s="1" t="n">
        <v>45210</v>
      </c>
      <c r="D998" t="inlineStr">
        <is>
          <t>DALARNAS LÄN</t>
        </is>
      </c>
      <c r="E998" t="inlineStr">
        <is>
          <t>FALUN</t>
        </is>
      </c>
      <c r="G998" t="n">
        <v>1.5</v>
      </c>
      <c r="H998" t="n">
        <v>0</v>
      </c>
      <c r="I998" t="n">
        <v>0</v>
      </c>
      <c r="J998" t="n">
        <v>0</v>
      </c>
      <c r="K998" t="n">
        <v>0</v>
      </c>
      <c r="L998" t="n">
        <v>0</v>
      </c>
      <c r="M998" t="n">
        <v>0</v>
      </c>
      <c r="N998" t="n">
        <v>0</v>
      </c>
      <c r="O998" t="n">
        <v>0</v>
      </c>
      <c r="P998" t="n">
        <v>0</v>
      </c>
      <c r="Q998" t="n">
        <v>0</v>
      </c>
      <c r="R998" s="2" t="inlineStr"/>
    </row>
    <row r="999" ht="15" customHeight="1">
      <c r="A999" t="inlineStr">
        <is>
          <t>A 3477-2019</t>
        </is>
      </c>
      <c r="B999" s="1" t="n">
        <v>43481</v>
      </c>
      <c r="C999" s="1" t="n">
        <v>45210</v>
      </c>
      <c r="D999" t="inlineStr">
        <is>
          <t>DALARNAS LÄN</t>
        </is>
      </c>
      <c r="E999" t="inlineStr">
        <is>
          <t>FALUN</t>
        </is>
      </c>
      <c r="G999" t="n">
        <v>1.1</v>
      </c>
      <c r="H999" t="n">
        <v>0</v>
      </c>
      <c r="I999" t="n">
        <v>0</v>
      </c>
      <c r="J999" t="n">
        <v>0</v>
      </c>
      <c r="K999" t="n">
        <v>0</v>
      </c>
      <c r="L999" t="n">
        <v>0</v>
      </c>
      <c r="M999" t="n">
        <v>0</v>
      </c>
      <c r="N999" t="n">
        <v>0</v>
      </c>
      <c r="O999" t="n">
        <v>0</v>
      </c>
      <c r="P999" t="n">
        <v>0</v>
      </c>
      <c r="Q999" t="n">
        <v>0</v>
      </c>
      <c r="R999" s="2" t="inlineStr"/>
    </row>
    <row r="1000" ht="15" customHeight="1">
      <c r="A1000" t="inlineStr">
        <is>
          <t>A 5187-2019</t>
        </is>
      </c>
      <c r="B1000" s="1" t="n">
        <v>43481</v>
      </c>
      <c r="C1000" s="1" t="n">
        <v>45210</v>
      </c>
      <c r="D1000" t="inlineStr">
        <is>
          <t>DALARNAS LÄN</t>
        </is>
      </c>
      <c r="E1000" t="inlineStr">
        <is>
          <t>RÄTTVIK</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3408-2019</t>
        </is>
      </c>
      <c r="B1001" s="1" t="n">
        <v>43481</v>
      </c>
      <c r="C1001" s="1" t="n">
        <v>45210</v>
      </c>
      <c r="D1001" t="inlineStr">
        <is>
          <t>DALARNAS LÄN</t>
        </is>
      </c>
      <c r="E1001" t="inlineStr">
        <is>
          <t>MALUNG-SÄLEN</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3473-2019</t>
        </is>
      </c>
      <c r="B1002" s="1" t="n">
        <v>43481</v>
      </c>
      <c r="C1002" s="1" t="n">
        <v>45210</v>
      </c>
      <c r="D1002" t="inlineStr">
        <is>
          <t>DALARNAS LÄN</t>
        </is>
      </c>
      <c r="E1002" t="inlineStr">
        <is>
          <t>MORA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3529-2019</t>
        </is>
      </c>
      <c r="B1003" s="1" t="n">
        <v>43481</v>
      </c>
      <c r="C1003" s="1" t="n">
        <v>45210</v>
      </c>
      <c r="D1003" t="inlineStr">
        <is>
          <t>DALARNAS LÄN</t>
        </is>
      </c>
      <c r="E1003" t="inlineStr">
        <is>
          <t>HEDEMORA</t>
        </is>
      </c>
      <c r="G1003" t="n">
        <v>14.7</v>
      </c>
      <c r="H1003" t="n">
        <v>0</v>
      </c>
      <c r="I1003" t="n">
        <v>0</v>
      </c>
      <c r="J1003" t="n">
        <v>0</v>
      </c>
      <c r="K1003" t="n">
        <v>0</v>
      </c>
      <c r="L1003" t="n">
        <v>0</v>
      </c>
      <c r="M1003" t="n">
        <v>0</v>
      </c>
      <c r="N1003" t="n">
        <v>0</v>
      </c>
      <c r="O1003" t="n">
        <v>0</v>
      </c>
      <c r="P1003" t="n">
        <v>0</v>
      </c>
      <c r="Q1003" t="n">
        <v>0</v>
      </c>
      <c r="R1003" s="2" t="inlineStr"/>
    </row>
    <row r="1004" ht="15" customHeight="1">
      <c r="A1004" t="inlineStr">
        <is>
          <t>A 3589-2019</t>
        </is>
      </c>
      <c r="B1004" s="1" t="n">
        <v>43481</v>
      </c>
      <c r="C1004" s="1" t="n">
        <v>45210</v>
      </c>
      <c r="D1004" t="inlineStr">
        <is>
          <t>DALARNAS LÄN</t>
        </is>
      </c>
      <c r="E1004" t="inlineStr">
        <is>
          <t>MALUNG-SÄLEN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3561-2019</t>
        </is>
      </c>
      <c r="B1005" s="1" t="n">
        <v>43481</v>
      </c>
      <c r="C1005" s="1" t="n">
        <v>45210</v>
      </c>
      <c r="D1005" t="inlineStr">
        <is>
          <t>DALARNAS LÄN</t>
        </is>
      </c>
      <c r="E1005" t="inlineStr">
        <is>
          <t>FALUN</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3827-2019</t>
        </is>
      </c>
      <c r="B1006" s="1" t="n">
        <v>43482</v>
      </c>
      <c r="C1006" s="1" t="n">
        <v>45210</v>
      </c>
      <c r="D1006" t="inlineStr">
        <is>
          <t>DALARNAS LÄN</t>
        </is>
      </c>
      <c r="E1006" t="inlineStr">
        <is>
          <t>MALUNG-SÄLEN</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3842-2019</t>
        </is>
      </c>
      <c r="B1007" s="1" t="n">
        <v>43482</v>
      </c>
      <c r="C1007" s="1" t="n">
        <v>45210</v>
      </c>
      <c r="D1007" t="inlineStr">
        <is>
          <t>DALARNAS LÄN</t>
        </is>
      </c>
      <c r="E1007" t="inlineStr">
        <is>
          <t>FALUN</t>
        </is>
      </c>
      <c r="F1007" t="inlineStr">
        <is>
          <t>Bergvik skog väst AB</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3836-2019</t>
        </is>
      </c>
      <c r="B1008" s="1" t="n">
        <v>43482</v>
      </c>
      <c r="C1008" s="1" t="n">
        <v>45210</v>
      </c>
      <c r="D1008" t="inlineStr">
        <is>
          <t>DALARNAS LÄN</t>
        </is>
      </c>
      <c r="E1008" t="inlineStr">
        <is>
          <t>MORA</t>
        </is>
      </c>
      <c r="G1008" t="n">
        <v>5.2</v>
      </c>
      <c r="H1008" t="n">
        <v>0</v>
      </c>
      <c r="I1008" t="n">
        <v>0</v>
      </c>
      <c r="J1008" t="n">
        <v>0</v>
      </c>
      <c r="K1008" t="n">
        <v>0</v>
      </c>
      <c r="L1008" t="n">
        <v>0</v>
      </c>
      <c r="M1008" t="n">
        <v>0</v>
      </c>
      <c r="N1008" t="n">
        <v>0</v>
      </c>
      <c r="O1008" t="n">
        <v>0</v>
      </c>
      <c r="P1008" t="n">
        <v>0</v>
      </c>
      <c r="Q1008" t="n">
        <v>0</v>
      </c>
      <c r="R1008" s="2" t="inlineStr"/>
    </row>
    <row r="1009" ht="15" customHeight="1">
      <c r="A1009" t="inlineStr">
        <is>
          <t>A 3825-2019</t>
        </is>
      </c>
      <c r="B1009" s="1" t="n">
        <v>43482</v>
      </c>
      <c r="C1009" s="1" t="n">
        <v>45210</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3840-2019</t>
        </is>
      </c>
      <c r="B1010" s="1" t="n">
        <v>43482</v>
      </c>
      <c r="C1010" s="1" t="n">
        <v>45210</v>
      </c>
      <c r="D1010" t="inlineStr">
        <is>
          <t>DALARNAS LÄN</t>
        </is>
      </c>
      <c r="E1010" t="inlineStr">
        <is>
          <t>MORA</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3868-2019</t>
        </is>
      </c>
      <c r="B1011" s="1" t="n">
        <v>43482</v>
      </c>
      <c r="C1011" s="1" t="n">
        <v>45210</v>
      </c>
      <c r="D1011" t="inlineStr">
        <is>
          <t>DALARNAS LÄN</t>
        </is>
      </c>
      <c r="E1011" t="inlineStr">
        <is>
          <t>FALUN</t>
        </is>
      </c>
      <c r="F1011" t="inlineStr">
        <is>
          <t>Bergvik skog väst AB</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3912-2019</t>
        </is>
      </c>
      <c r="B1012" s="1" t="n">
        <v>43482</v>
      </c>
      <c r="C1012" s="1" t="n">
        <v>45210</v>
      </c>
      <c r="D1012" t="inlineStr">
        <is>
          <t>DALARNAS LÄN</t>
        </is>
      </c>
      <c r="E1012" t="inlineStr">
        <is>
          <t>FALUN</t>
        </is>
      </c>
      <c r="F1012" t="inlineStr">
        <is>
          <t>Bergvik skog väst AB</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5482-2019</t>
        </is>
      </c>
      <c r="B1013" s="1" t="n">
        <v>43482</v>
      </c>
      <c r="C1013" s="1" t="n">
        <v>45210</v>
      </c>
      <c r="D1013" t="inlineStr">
        <is>
          <t>DALARNAS LÄN</t>
        </is>
      </c>
      <c r="E1013" t="inlineStr">
        <is>
          <t>FALUN</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5740-2019</t>
        </is>
      </c>
      <c r="B1014" s="1" t="n">
        <v>43483</v>
      </c>
      <c r="C1014" s="1" t="n">
        <v>45210</v>
      </c>
      <c r="D1014" t="inlineStr">
        <is>
          <t>DALARNAS LÄN</t>
        </is>
      </c>
      <c r="E1014" t="inlineStr">
        <is>
          <t>MORA</t>
        </is>
      </c>
      <c r="F1014" t="inlineStr">
        <is>
          <t>Allmännings- och besparingsskogar</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5780-2019</t>
        </is>
      </c>
      <c r="B1015" s="1" t="n">
        <v>43483</v>
      </c>
      <c r="C1015" s="1" t="n">
        <v>45210</v>
      </c>
      <c r="D1015" t="inlineStr">
        <is>
          <t>DALARNAS LÄN</t>
        </is>
      </c>
      <c r="E1015" t="inlineStr">
        <is>
          <t>MORA</t>
        </is>
      </c>
      <c r="F1015" t="inlineStr">
        <is>
          <t>Allmännings- och besparingsskogar</t>
        </is>
      </c>
      <c r="G1015" t="n">
        <v>8.800000000000001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6060-2019</t>
        </is>
      </c>
      <c r="B1016" s="1" t="n">
        <v>43483</v>
      </c>
      <c r="C1016" s="1" t="n">
        <v>45210</v>
      </c>
      <c r="D1016" t="inlineStr">
        <is>
          <t>DALARNAS LÄN</t>
        </is>
      </c>
      <c r="E1016" t="inlineStr">
        <is>
          <t>GAGNEF</t>
        </is>
      </c>
      <c r="G1016" t="n">
        <v>5.6</v>
      </c>
      <c r="H1016" t="n">
        <v>0</v>
      </c>
      <c r="I1016" t="n">
        <v>0</v>
      </c>
      <c r="J1016" t="n">
        <v>0</v>
      </c>
      <c r="K1016" t="n">
        <v>0</v>
      </c>
      <c r="L1016" t="n">
        <v>0</v>
      </c>
      <c r="M1016" t="n">
        <v>0</v>
      </c>
      <c r="N1016" t="n">
        <v>0</v>
      </c>
      <c r="O1016" t="n">
        <v>0</v>
      </c>
      <c r="P1016" t="n">
        <v>0</v>
      </c>
      <c r="Q1016" t="n">
        <v>0</v>
      </c>
      <c r="R1016" s="2" t="inlineStr"/>
    </row>
    <row r="1017" ht="15" customHeight="1">
      <c r="A1017" t="inlineStr">
        <is>
          <t>A 4142-2019</t>
        </is>
      </c>
      <c r="B1017" s="1" t="n">
        <v>43483</v>
      </c>
      <c r="C1017" s="1" t="n">
        <v>45210</v>
      </c>
      <c r="D1017" t="inlineStr">
        <is>
          <t>DALARNAS LÄN</t>
        </is>
      </c>
      <c r="E1017" t="inlineStr">
        <is>
          <t>SMEDJEBACKEN</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4292-2019</t>
        </is>
      </c>
      <c r="B1018" s="1" t="n">
        <v>43483</v>
      </c>
      <c r="C1018" s="1" t="n">
        <v>45210</v>
      </c>
      <c r="D1018" t="inlineStr">
        <is>
          <t>DALARNAS LÄN</t>
        </is>
      </c>
      <c r="E1018" t="inlineStr">
        <is>
          <t>ÄLVDALEN</t>
        </is>
      </c>
      <c r="F1018" t="inlineStr">
        <is>
          <t>Allmännings- och besparingsskogar</t>
        </is>
      </c>
      <c r="G1018" t="n">
        <v>48.1</v>
      </c>
      <c r="H1018" t="n">
        <v>0</v>
      </c>
      <c r="I1018" t="n">
        <v>0</v>
      </c>
      <c r="J1018" t="n">
        <v>0</v>
      </c>
      <c r="K1018" t="n">
        <v>0</v>
      </c>
      <c r="L1018" t="n">
        <v>0</v>
      </c>
      <c r="M1018" t="n">
        <v>0</v>
      </c>
      <c r="N1018" t="n">
        <v>0</v>
      </c>
      <c r="O1018" t="n">
        <v>0</v>
      </c>
      <c r="P1018" t="n">
        <v>0</v>
      </c>
      <c r="Q1018" t="n">
        <v>0</v>
      </c>
      <c r="R1018" s="2" t="inlineStr"/>
    </row>
    <row r="1019" ht="15" customHeight="1">
      <c r="A1019" t="inlineStr">
        <is>
          <t>A 4357-2019</t>
        </is>
      </c>
      <c r="B1019" s="1" t="n">
        <v>43483</v>
      </c>
      <c r="C1019" s="1" t="n">
        <v>45210</v>
      </c>
      <c r="D1019" t="inlineStr">
        <is>
          <t>DALARNAS LÄN</t>
        </is>
      </c>
      <c r="E1019" t="inlineStr">
        <is>
          <t>SÄTER</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5778-2019</t>
        </is>
      </c>
      <c r="B1020" s="1" t="n">
        <v>43483</v>
      </c>
      <c r="C1020" s="1" t="n">
        <v>45210</v>
      </c>
      <c r="D1020" t="inlineStr">
        <is>
          <t>DALARNAS LÄN</t>
        </is>
      </c>
      <c r="E1020" t="inlineStr">
        <is>
          <t>MORA</t>
        </is>
      </c>
      <c r="F1020" t="inlineStr">
        <is>
          <t>Allmännings- och besparingsskogar</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4349-2019</t>
        </is>
      </c>
      <c r="B1021" s="1" t="n">
        <v>43483</v>
      </c>
      <c r="C1021" s="1" t="n">
        <v>45210</v>
      </c>
      <c r="D1021" t="inlineStr">
        <is>
          <t>DALARNAS LÄN</t>
        </is>
      </c>
      <c r="E1021" t="inlineStr">
        <is>
          <t>ORSA</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5757-2019</t>
        </is>
      </c>
      <c r="B1022" s="1" t="n">
        <v>43483</v>
      </c>
      <c r="C1022" s="1" t="n">
        <v>45210</v>
      </c>
      <c r="D1022" t="inlineStr">
        <is>
          <t>DALARNAS LÄN</t>
        </is>
      </c>
      <c r="E1022" t="inlineStr">
        <is>
          <t>MORA</t>
        </is>
      </c>
      <c r="F1022" t="inlineStr">
        <is>
          <t>Allmännings- och besparingsskogar</t>
        </is>
      </c>
      <c r="G1022" t="n">
        <v>7</v>
      </c>
      <c r="H1022" t="n">
        <v>0</v>
      </c>
      <c r="I1022" t="n">
        <v>0</v>
      </c>
      <c r="J1022" t="n">
        <v>0</v>
      </c>
      <c r="K1022" t="n">
        <v>0</v>
      </c>
      <c r="L1022" t="n">
        <v>0</v>
      </c>
      <c r="M1022" t="n">
        <v>0</v>
      </c>
      <c r="N1022" t="n">
        <v>0</v>
      </c>
      <c r="O1022" t="n">
        <v>0</v>
      </c>
      <c r="P1022" t="n">
        <v>0</v>
      </c>
      <c r="Q1022" t="n">
        <v>0</v>
      </c>
      <c r="R1022" s="2" t="inlineStr"/>
    </row>
    <row r="1023" ht="15" customHeight="1">
      <c r="A1023" t="inlineStr">
        <is>
          <t>A 5789-2019</t>
        </is>
      </c>
      <c r="B1023" s="1" t="n">
        <v>43483</v>
      </c>
      <c r="C1023" s="1" t="n">
        <v>45210</v>
      </c>
      <c r="D1023" t="inlineStr">
        <is>
          <t>DALARNAS LÄN</t>
        </is>
      </c>
      <c r="E1023" t="inlineStr">
        <is>
          <t>MORA</t>
        </is>
      </c>
      <c r="F1023" t="inlineStr">
        <is>
          <t>Allmännings- och besparingsskogar</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5761-2019</t>
        </is>
      </c>
      <c r="B1024" s="1" t="n">
        <v>43483</v>
      </c>
      <c r="C1024" s="1" t="n">
        <v>45210</v>
      </c>
      <c r="D1024" t="inlineStr">
        <is>
          <t>DALARNAS LÄN</t>
        </is>
      </c>
      <c r="E1024" t="inlineStr">
        <is>
          <t>MORA</t>
        </is>
      </c>
      <c r="F1024" t="inlineStr">
        <is>
          <t>Allmännings- och besparingsskogar</t>
        </is>
      </c>
      <c r="G1024" t="n">
        <v>19.3</v>
      </c>
      <c r="H1024" t="n">
        <v>0</v>
      </c>
      <c r="I1024" t="n">
        <v>0</v>
      </c>
      <c r="J1024" t="n">
        <v>0</v>
      </c>
      <c r="K1024" t="n">
        <v>0</v>
      </c>
      <c r="L1024" t="n">
        <v>0</v>
      </c>
      <c r="M1024" t="n">
        <v>0</v>
      </c>
      <c r="N1024" t="n">
        <v>0</v>
      </c>
      <c r="O1024" t="n">
        <v>0</v>
      </c>
      <c r="P1024" t="n">
        <v>0</v>
      </c>
      <c r="Q1024" t="n">
        <v>0</v>
      </c>
      <c r="R1024" s="2" t="inlineStr"/>
    </row>
    <row r="1025" ht="15" customHeight="1">
      <c r="A1025" t="inlineStr">
        <is>
          <t>A 5801-2019</t>
        </is>
      </c>
      <c r="B1025" s="1" t="n">
        <v>43483</v>
      </c>
      <c r="C1025" s="1" t="n">
        <v>45210</v>
      </c>
      <c r="D1025" t="inlineStr">
        <is>
          <t>DALARNAS LÄN</t>
        </is>
      </c>
      <c r="E1025" t="inlineStr">
        <is>
          <t>MORA</t>
        </is>
      </c>
      <c r="F1025" t="inlineStr">
        <is>
          <t>Allmännings- och besparingsskogar</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4398-2019</t>
        </is>
      </c>
      <c r="B1026" s="1" t="n">
        <v>43484</v>
      </c>
      <c r="C1026" s="1" t="n">
        <v>45210</v>
      </c>
      <c r="D1026" t="inlineStr">
        <is>
          <t>DALARNAS LÄN</t>
        </is>
      </c>
      <c r="E1026" t="inlineStr">
        <is>
          <t>MALUNG-SÄLEN</t>
        </is>
      </c>
      <c r="G1026" t="n">
        <v>0.1</v>
      </c>
      <c r="H1026" t="n">
        <v>0</v>
      </c>
      <c r="I1026" t="n">
        <v>0</v>
      </c>
      <c r="J1026" t="n">
        <v>0</v>
      </c>
      <c r="K1026" t="n">
        <v>0</v>
      </c>
      <c r="L1026" t="n">
        <v>0</v>
      </c>
      <c r="M1026" t="n">
        <v>0</v>
      </c>
      <c r="N1026" t="n">
        <v>0</v>
      </c>
      <c r="O1026" t="n">
        <v>0</v>
      </c>
      <c r="P1026" t="n">
        <v>0</v>
      </c>
      <c r="Q1026" t="n">
        <v>0</v>
      </c>
      <c r="R1026" s="2" t="inlineStr"/>
    </row>
    <row r="1027" ht="15" customHeight="1">
      <c r="A1027" t="inlineStr">
        <is>
          <t>A 4396-2019</t>
        </is>
      </c>
      <c r="B1027" s="1" t="n">
        <v>43484</v>
      </c>
      <c r="C1027" s="1" t="n">
        <v>45210</v>
      </c>
      <c r="D1027" t="inlineStr">
        <is>
          <t>DALARNAS LÄN</t>
        </is>
      </c>
      <c r="E1027" t="inlineStr">
        <is>
          <t>MALUNG-SÄLEN</t>
        </is>
      </c>
      <c r="G1027" t="n">
        <v>12.4</v>
      </c>
      <c r="H1027" t="n">
        <v>0</v>
      </c>
      <c r="I1027" t="n">
        <v>0</v>
      </c>
      <c r="J1027" t="n">
        <v>0</v>
      </c>
      <c r="K1027" t="n">
        <v>0</v>
      </c>
      <c r="L1027" t="n">
        <v>0</v>
      </c>
      <c r="M1027" t="n">
        <v>0</v>
      </c>
      <c r="N1027" t="n">
        <v>0</v>
      </c>
      <c r="O1027" t="n">
        <v>0</v>
      </c>
      <c r="P1027" t="n">
        <v>0</v>
      </c>
      <c r="Q1027" t="n">
        <v>0</v>
      </c>
      <c r="R1027" s="2" t="inlineStr"/>
    </row>
    <row r="1028" ht="15" customHeight="1">
      <c r="A1028" t="inlineStr">
        <is>
          <t>A 4667-2019</t>
        </is>
      </c>
      <c r="B1028" s="1" t="n">
        <v>43486</v>
      </c>
      <c r="C1028" s="1" t="n">
        <v>45210</v>
      </c>
      <c r="D1028" t="inlineStr">
        <is>
          <t>DALARNAS LÄN</t>
        </is>
      </c>
      <c r="E1028" t="inlineStr">
        <is>
          <t>LEKSAND</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4764-2019</t>
        </is>
      </c>
      <c r="B1029" s="1" t="n">
        <v>43486</v>
      </c>
      <c r="C1029" s="1" t="n">
        <v>45210</v>
      </c>
      <c r="D1029" t="inlineStr">
        <is>
          <t>DALARNAS LÄN</t>
        </is>
      </c>
      <c r="E1029" t="inlineStr">
        <is>
          <t>HEDEMORA</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4706-2019</t>
        </is>
      </c>
      <c r="B1030" s="1" t="n">
        <v>43486</v>
      </c>
      <c r="C1030" s="1" t="n">
        <v>45210</v>
      </c>
      <c r="D1030" t="inlineStr">
        <is>
          <t>DALARNAS LÄN</t>
        </is>
      </c>
      <c r="E1030" t="inlineStr">
        <is>
          <t>ÄLVDALEN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6261-2019</t>
        </is>
      </c>
      <c r="B1031" s="1" t="n">
        <v>43486</v>
      </c>
      <c r="C1031" s="1" t="n">
        <v>45210</v>
      </c>
      <c r="D1031" t="inlineStr">
        <is>
          <t>DALARNAS LÄN</t>
        </is>
      </c>
      <c r="E1031" t="inlineStr">
        <is>
          <t>BORLÄNGE</t>
        </is>
      </c>
      <c r="G1031" t="n">
        <v>8</v>
      </c>
      <c r="H1031" t="n">
        <v>0</v>
      </c>
      <c r="I1031" t="n">
        <v>0</v>
      </c>
      <c r="J1031" t="n">
        <v>0</v>
      </c>
      <c r="K1031" t="n">
        <v>0</v>
      </c>
      <c r="L1031" t="n">
        <v>0</v>
      </c>
      <c r="M1031" t="n">
        <v>0</v>
      </c>
      <c r="N1031" t="n">
        <v>0</v>
      </c>
      <c r="O1031" t="n">
        <v>0</v>
      </c>
      <c r="P1031" t="n">
        <v>0</v>
      </c>
      <c r="Q1031" t="n">
        <v>0</v>
      </c>
      <c r="R1031" s="2" t="inlineStr"/>
    </row>
    <row r="1032" ht="15" customHeight="1">
      <c r="A1032" t="inlineStr">
        <is>
          <t>A 4473-2019</t>
        </is>
      </c>
      <c r="B1032" s="1" t="n">
        <v>43486</v>
      </c>
      <c r="C1032" s="1" t="n">
        <v>45210</v>
      </c>
      <c r="D1032" t="inlineStr">
        <is>
          <t>DALARNAS LÄN</t>
        </is>
      </c>
      <c r="E1032" t="inlineStr">
        <is>
          <t>HEDEMORA</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4780-2019</t>
        </is>
      </c>
      <c r="B1033" s="1" t="n">
        <v>43486</v>
      </c>
      <c r="C1033" s="1" t="n">
        <v>45210</v>
      </c>
      <c r="D1033" t="inlineStr">
        <is>
          <t>DALARNAS LÄN</t>
        </is>
      </c>
      <c r="E1033" t="inlineStr">
        <is>
          <t>MALUNG-SÄLEN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4536-2019</t>
        </is>
      </c>
      <c r="B1034" s="1" t="n">
        <v>43486</v>
      </c>
      <c r="C1034" s="1" t="n">
        <v>45210</v>
      </c>
      <c r="D1034" t="inlineStr">
        <is>
          <t>DALARNAS LÄN</t>
        </is>
      </c>
      <c r="E1034" t="inlineStr">
        <is>
          <t>MALUNG-SÄLEN</t>
        </is>
      </c>
      <c r="G1034" t="n">
        <v>35.7</v>
      </c>
      <c r="H1034" t="n">
        <v>0</v>
      </c>
      <c r="I1034" t="n">
        <v>0</v>
      </c>
      <c r="J1034" t="n">
        <v>0</v>
      </c>
      <c r="K1034" t="n">
        <v>0</v>
      </c>
      <c r="L1034" t="n">
        <v>0</v>
      </c>
      <c r="M1034" t="n">
        <v>0</v>
      </c>
      <c r="N1034" t="n">
        <v>0</v>
      </c>
      <c r="O1034" t="n">
        <v>0</v>
      </c>
      <c r="P1034" t="n">
        <v>0</v>
      </c>
      <c r="Q1034" t="n">
        <v>0</v>
      </c>
      <c r="R1034" s="2" t="inlineStr"/>
    </row>
    <row r="1035" ht="15" customHeight="1">
      <c r="A1035" t="inlineStr">
        <is>
          <t>A 5038-2019</t>
        </is>
      </c>
      <c r="B1035" s="1" t="n">
        <v>43487</v>
      </c>
      <c r="C1035" s="1" t="n">
        <v>45210</v>
      </c>
      <c r="D1035" t="inlineStr">
        <is>
          <t>DALARNAS LÄN</t>
        </is>
      </c>
      <c r="E1035" t="inlineStr">
        <is>
          <t>VANSBRO</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5137-2019</t>
        </is>
      </c>
      <c r="B1036" s="1" t="n">
        <v>43487</v>
      </c>
      <c r="C1036" s="1" t="n">
        <v>45210</v>
      </c>
      <c r="D1036" t="inlineStr">
        <is>
          <t>DALARNAS LÄN</t>
        </is>
      </c>
      <c r="E1036" t="inlineStr">
        <is>
          <t>LEKSAND</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4860-2019</t>
        </is>
      </c>
      <c r="B1037" s="1" t="n">
        <v>43487</v>
      </c>
      <c r="C1037" s="1" t="n">
        <v>45210</v>
      </c>
      <c r="D1037" t="inlineStr">
        <is>
          <t>DALARNAS LÄN</t>
        </is>
      </c>
      <c r="E1037" t="inlineStr">
        <is>
          <t>VANSBRO</t>
        </is>
      </c>
      <c r="G1037" t="n">
        <v>16.3</v>
      </c>
      <c r="H1037" t="n">
        <v>0</v>
      </c>
      <c r="I1037" t="n">
        <v>0</v>
      </c>
      <c r="J1037" t="n">
        <v>0</v>
      </c>
      <c r="K1037" t="n">
        <v>0</v>
      </c>
      <c r="L1037" t="n">
        <v>0</v>
      </c>
      <c r="M1037" t="n">
        <v>0</v>
      </c>
      <c r="N1037" t="n">
        <v>0</v>
      </c>
      <c r="O1037" t="n">
        <v>0</v>
      </c>
      <c r="P1037" t="n">
        <v>0</v>
      </c>
      <c r="Q1037" t="n">
        <v>0</v>
      </c>
      <c r="R1037" s="2" t="inlineStr"/>
    </row>
    <row r="1038" ht="15" customHeight="1">
      <c r="A1038" t="inlineStr">
        <is>
          <t>A 4956-2019</t>
        </is>
      </c>
      <c r="B1038" s="1" t="n">
        <v>43487</v>
      </c>
      <c r="C1038" s="1" t="n">
        <v>45210</v>
      </c>
      <c r="D1038" t="inlineStr">
        <is>
          <t>DALARNAS LÄN</t>
        </is>
      </c>
      <c r="E1038" t="inlineStr">
        <is>
          <t>SMEDJEBACKEN</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5136-2019</t>
        </is>
      </c>
      <c r="B1039" s="1" t="n">
        <v>43487</v>
      </c>
      <c r="C1039" s="1" t="n">
        <v>45210</v>
      </c>
      <c r="D1039" t="inlineStr">
        <is>
          <t>DALARNAS LÄN</t>
        </is>
      </c>
      <c r="E1039" t="inlineStr">
        <is>
          <t>LEKSAND</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5294-2019</t>
        </is>
      </c>
      <c r="B1040" s="1" t="n">
        <v>43488</v>
      </c>
      <c r="C1040" s="1" t="n">
        <v>45210</v>
      </c>
      <c r="D1040" t="inlineStr">
        <is>
          <t>DALARNAS LÄN</t>
        </is>
      </c>
      <c r="E1040" t="inlineStr">
        <is>
          <t>VANSBRO</t>
        </is>
      </c>
      <c r="G1040" t="n">
        <v>3.1</v>
      </c>
      <c r="H1040" t="n">
        <v>0</v>
      </c>
      <c r="I1040" t="n">
        <v>0</v>
      </c>
      <c r="J1040" t="n">
        <v>0</v>
      </c>
      <c r="K1040" t="n">
        <v>0</v>
      </c>
      <c r="L1040" t="n">
        <v>0</v>
      </c>
      <c r="M1040" t="n">
        <v>0</v>
      </c>
      <c r="N1040" t="n">
        <v>0</v>
      </c>
      <c r="O1040" t="n">
        <v>0</v>
      </c>
      <c r="P1040" t="n">
        <v>0</v>
      </c>
      <c r="Q1040" t="n">
        <v>0</v>
      </c>
      <c r="R1040" s="2" t="inlineStr"/>
    </row>
    <row r="1041" ht="15" customHeight="1">
      <c r="A1041" t="inlineStr">
        <is>
          <t>A 5321-2019</t>
        </is>
      </c>
      <c r="B1041" s="1" t="n">
        <v>43488</v>
      </c>
      <c r="C1041" s="1" t="n">
        <v>45210</v>
      </c>
      <c r="D1041" t="inlineStr">
        <is>
          <t>DALARNAS LÄN</t>
        </is>
      </c>
      <c r="E1041" t="inlineStr">
        <is>
          <t>FALUN</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5690-2019</t>
        </is>
      </c>
      <c r="B1042" s="1" t="n">
        <v>43489</v>
      </c>
      <c r="C1042" s="1" t="n">
        <v>45210</v>
      </c>
      <c r="D1042" t="inlineStr">
        <is>
          <t>DALARNAS LÄN</t>
        </is>
      </c>
      <c r="E1042" t="inlineStr">
        <is>
          <t>MALUNG-SÄLEN</t>
        </is>
      </c>
      <c r="F1042" t="inlineStr">
        <is>
          <t>Övriga Aktiebolag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5694-2019</t>
        </is>
      </c>
      <c r="B1043" s="1" t="n">
        <v>43489</v>
      </c>
      <c r="C1043" s="1" t="n">
        <v>45210</v>
      </c>
      <c r="D1043" t="inlineStr">
        <is>
          <t>DALARNAS LÄN</t>
        </is>
      </c>
      <c r="E1043" t="inlineStr">
        <is>
          <t>MALUNG-SÄLEN</t>
        </is>
      </c>
      <c r="F1043" t="inlineStr">
        <is>
          <t>Bergvik skog öst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5540-2019</t>
        </is>
      </c>
      <c r="B1044" s="1" t="n">
        <v>43489</v>
      </c>
      <c r="C1044" s="1" t="n">
        <v>45210</v>
      </c>
      <c r="D1044" t="inlineStr">
        <is>
          <t>DALARNAS LÄN</t>
        </is>
      </c>
      <c r="E1044" t="inlineStr">
        <is>
          <t>SMEDJEBACKEN</t>
        </is>
      </c>
      <c r="F1044" t="inlineStr">
        <is>
          <t>Bergvik skog väst AB</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5687-2019</t>
        </is>
      </c>
      <c r="B1045" s="1" t="n">
        <v>43489</v>
      </c>
      <c r="C1045" s="1" t="n">
        <v>45210</v>
      </c>
      <c r="D1045" t="inlineStr">
        <is>
          <t>DALARNAS LÄN</t>
        </is>
      </c>
      <c r="E1045" t="inlineStr">
        <is>
          <t>MALUNG-SÄLEN</t>
        </is>
      </c>
      <c r="F1045" t="inlineStr">
        <is>
          <t>Övriga Aktiebolag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5691-2019</t>
        </is>
      </c>
      <c r="B1046" s="1" t="n">
        <v>43489</v>
      </c>
      <c r="C1046" s="1" t="n">
        <v>45210</v>
      </c>
      <c r="D1046" t="inlineStr">
        <is>
          <t>DALARNAS LÄN</t>
        </is>
      </c>
      <c r="E1046" t="inlineStr">
        <is>
          <t>MALUNG-SÄLEN</t>
        </is>
      </c>
      <c r="F1046" t="inlineStr">
        <is>
          <t>Övriga Aktiebolag</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7168-2019</t>
        </is>
      </c>
      <c r="B1047" s="1" t="n">
        <v>43489</v>
      </c>
      <c r="C1047" s="1" t="n">
        <v>45210</v>
      </c>
      <c r="D1047" t="inlineStr">
        <is>
          <t>DALARNAS LÄN</t>
        </is>
      </c>
      <c r="E1047" t="inlineStr">
        <is>
          <t>ORSA</t>
        </is>
      </c>
      <c r="G1047" t="n">
        <v>6.3</v>
      </c>
      <c r="H1047" t="n">
        <v>0</v>
      </c>
      <c r="I1047" t="n">
        <v>0</v>
      </c>
      <c r="J1047" t="n">
        <v>0</v>
      </c>
      <c r="K1047" t="n">
        <v>0</v>
      </c>
      <c r="L1047" t="n">
        <v>0</v>
      </c>
      <c r="M1047" t="n">
        <v>0</v>
      </c>
      <c r="N1047" t="n">
        <v>0</v>
      </c>
      <c r="O1047" t="n">
        <v>0</v>
      </c>
      <c r="P1047" t="n">
        <v>0</v>
      </c>
      <c r="Q1047" t="n">
        <v>0</v>
      </c>
      <c r="R1047" s="2" t="inlineStr"/>
    </row>
    <row r="1048" ht="15" customHeight="1">
      <c r="A1048" t="inlineStr">
        <is>
          <t>A 7184-2019</t>
        </is>
      </c>
      <c r="B1048" s="1" t="n">
        <v>43489</v>
      </c>
      <c r="C1048" s="1" t="n">
        <v>45210</v>
      </c>
      <c r="D1048" t="inlineStr">
        <is>
          <t>DALARNAS LÄN</t>
        </is>
      </c>
      <c r="E1048" t="inlineStr">
        <is>
          <t>ORSA</t>
        </is>
      </c>
      <c r="G1048" t="n">
        <v>4.3</v>
      </c>
      <c r="H1048" t="n">
        <v>0</v>
      </c>
      <c r="I1048" t="n">
        <v>0</v>
      </c>
      <c r="J1048" t="n">
        <v>0</v>
      </c>
      <c r="K1048" t="n">
        <v>0</v>
      </c>
      <c r="L1048" t="n">
        <v>0</v>
      </c>
      <c r="M1048" t="n">
        <v>0</v>
      </c>
      <c r="N1048" t="n">
        <v>0</v>
      </c>
      <c r="O1048" t="n">
        <v>0</v>
      </c>
      <c r="P1048" t="n">
        <v>0</v>
      </c>
      <c r="Q1048" t="n">
        <v>0</v>
      </c>
      <c r="R1048" s="2" t="inlineStr"/>
    </row>
    <row r="1049" ht="15" customHeight="1">
      <c r="A1049" t="inlineStr">
        <is>
          <t>A 5688-2019</t>
        </is>
      </c>
      <c r="B1049" s="1" t="n">
        <v>43489</v>
      </c>
      <c r="C1049" s="1" t="n">
        <v>45210</v>
      </c>
      <c r="D1049" t="inlineStr">
        <is>
          <t>DALARNAS LÄN</t>
        </is>
      </c>
      <c r="E1049" t="inlineStr">
        <is>
          <t>MALUNG-SÄLEN</t>
        </is>
      </c>
      <c r="F1049" t="inlineStr">
        <is>
          <t>Övriga Aktiebolag</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5692-2019</t>
        </is>
      </c>
      <c r="B1050" s="1" t="n">
        <v>43489</v>
      </c>
      <c r="C1050" s="1" t="n">
        <v>45210</v>
      </c>
      <c r="D1050" t="inlineStr">
        <is>
          <t>DALARNAS LÄN</t>
        </is>
      </c>
      <c r="E1050" t="inlineStr">
        <is>
          <t>MALUNG-SÄLEN</t>
        </is>
      </c>
      <c r="F1050" t="inlineStr">
        <is>
          <t>Bergvik skog öst AB</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5668-2019</t>
        </is>
      </c>
      <c r="B1051" s="1" t="n">
        <v>43489</v>
      </c>
      <c r="C1051" s="1" t="n">
        <v>45210</v>
      </c>
      <c r="D1051" t="inlineStr">
        <is>
          <t>DALARNAS LÄN</t>
        </is>
      </c>
      <c r="E1051" t="inlineStr">
        <is>
          <t>VANSBRO</t>
        </is>
      </c>
      <c r="G1051" t="n">
        <v>14.1</v>
      </c>
      <c r="H1051" t="n">
        <v>0</v>
      </c>
      <c r="I1051" t="n">
        <v>0</v>
      </c>
      <c r="J1051" t="n">
        <v>0</v>
      </c>
      <c r="K1051" t="n">
        <v>0</v>
      </c>
      <c r="L1051" t="n">
        <v>0</v>
      </c>
      <c r="M1051" t="n">
        <v>0</v>
      </c>
      <c r="N1051" t="n">
        <v>0</v>
      </c>
      <c r="O1051" t="n">
        <v>0</v>
      </c>
      <c r="P1051" t="n">
        <v>0</v>
      </c>
      <c r="Q1051" t="n">
        <v>0</v>
      </c>
      <c r="R1051" s="2" t="inlineStr"/>
    </row>
    <row r="1052" ht="15" customHeight="1">
      <c r="A1052" t="inlineStr">
        <is>
          <t>A 5689-2019</t>
        </is>
      </c>
      <c r="B1052" s="1" t="n">
        <v>43489</v>
      </c>
      <c r="C1052" s="1" t="n">
        <v>45210</v>
      </c>
      <c r="D1052" t="inlineStr">
        <is>
          <t>DALARNAS LÄN</t>
        </is>
      </c>
      <c r="E1052" t="inlineStr">
        <is>
          <t>MALUNG-SÄLEN</t>
        </is>
      </c>
      <c r="F1052" t="inlineStr">
        <is>
          <t>Övriga Aktiebolag</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5693-2019</t>
        </is>
      </c>
      <c r="B1053" s="1" t="n">
        <v>43489</v>
      </c>
      <c r="C1053" s="1" t="n">
        <v>45210</v>
      </c>
      <c r="D1053" t="inlineStr">
        <is>
          <t>DALARNAS LÄN</t>
        </is>
      </c>
      <c r="E1053" t="inlineStr">
        <is>
          <t>MALUNG-SÄLEN</t>
        </is>
      </c>
      <c r="F1053" t="inlineStr">
        <is>
          <t>Bergvik skog öst AB</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7130-2019</t>
        </is>
      </c>
      <c r="B1054" s="1" t="n">
        <v>43489</v>
      </c>
      <c r="C1054" s="1" t="n">
        <v>45210</v>
      </c>
      <c r="D1054" t="inlineStr">
        <is>
          <t>DALARNAS LÄN</t>
        </is>
      </c>
      <c r="E1054" t="inlineStr">
        <is>
          <t>ORSA</t>
        </is>
      </c>
      <c r="G1054" t="n">
        <v>20.4</v>
      </c>
      <c r="H1054" t="n">
        <v>0</v>
      </c>
      <c r="I1054" t="n">
        <v>0</v>
      </c>
      <c r="J1054" t="n">
        <v>0</v>
      </c>
      <c r="K1054" t="n">
        <v>0</v>
      </c>
      <c r="L1054" t="n">
        <v>0</v>
      </c>
      <c r="M1054" t="n">
        <v>0</v>
      </c>
      <c r="N1054" t="n">
        <v>0</v>
      </c>
      <c r="O1054" t="n">
        <v>0</v>
      </c>
      <c r="P1054" t="n">
        <v>0</v>
      </c>
      <c r="Q1054" t="n">
        <v>0</v>
      </c>
      <c r="R1054" s="2" t="inlineStr"/>
    </row>
    <row r="1055" ht="15" customHeight="1">
      <c r="A1055" t="inlineStr">
        <is>
          <t>A 7266-2019</t>
        </is>
      </c>
      <c r="B1055" s="1" t="n">
        <v>43490</v>
      </c>
      <c r="C1055" s="1" t="n">
        <v>45210</v>
      </c>
      <c r="D1055" t="inlineStr">
        <is>
          <t>DALARNAS LÄN</t>
        </is>
      </c>
      <c r="E1055" t="inlineStr">
        <is>
          <t>RÄTTVIK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7241-2019</t>
        </is>
      </c>
      <c r="B1056" s="1" t="n">
        <v>43490</v>
      </c>
      <c r="C1056" s="1" t="n">
        <v>45210</v>
      </c>
      <c r="D1056" t="inlineStr">
        <is>
          <t>DALARNAS LÄN</t>
        </is>
      </c>
      <c r="E1056" t="inlineStr">
        <is>
          <t>ÄLVDALEN</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5854-2019</t>
        </is>
      </c>
      <c r="B1057" s="1" t="n">
        <v>43490</v>
      </c>
      <c r="C1057" s="1" t="n">
        <v>45210</v>
      </c>
      <c r="D1057" t="inlineStr">
        <is>
          <t>DALARNAS LÄN</t>
        </is>
      </c>
      <c r="E1057" t="inlineStr">
        <is>
          <t>FALUN</t>
        </is>
      </c>
      <c r="F1057" t="inlineStr">
        <is>
          <t>Bergvik skog väst AB</t>
        </is>
      </c>
      <c r="G1057" t="n">
        <v>5.7</v>
      </c>
      <c r="H1057" t="n">
        <v>0</v>
      </c>
      <c r="I1057" t="n">
        <v>0</v>
      </c>
      <c r="J1057" t="n">
        <v>0</v>
      </c>
      <c r="K1057" t="n">
        <v>0</v>
      </c>
      <c r="L1057" t="n">
        <v>0</v>
      </c>
      <c r="M1057" t="n">
        <v>0</v>
      </c>
      <c r="N1057" t="n">
        <v>0</v>
      </c>
      <c r="O1057" t="n">
        <v>0</v>
      </c>
      <c r="P1057" t="n">
        <v>0</v>
      </c>
      <c r="Q1057" t="n">
        <v>0</v>
      </c>
      <c r="R1057" s="2" t="inlineStr"/>
    </row>
    <row r="1058" ht="15" customHeight="1">
      <c r="A1058" t="inlineStr">
        <is>
          <t>A 7226-2019</t>
        </is>
      </c>
      <c r="B1058" s="1" t="n">
        <v>43490</v>
      </c>
      <c r="C1058" s="1" t="n">
        <v>45210</v>
      </c>
      <c r="D1058" t="inlineStr">
        <is>
          <t>DALARNAS LÄN</t>
        </is>
      </c>
      <c r="E1058" t="inlineStr">
        <is>
          <t>ÄLVDALEN</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5712-2019</t>
        </is>
      </c>
      <c r="B1059" s="1" t="n">
        <v>43490</v>
      </c>
      <c r="C1059" s="1" t="n">
        <v>45210</v>
      </c>
      <c r="D1059" t="inlineStr">
        <is>
          <t>DALARNAS LÄN</t>
        </is>
      </c>
      <c r="E1059" t="inlineStr">
        <is>
          <t>LEKSAND</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6040-2019</t>
        </is>
      </c>
      <c r="B1060" s="1" t="n">
        <v>43493</v>
      </c>
      <c r="C1060" s="1" t="n">
        <v>45210</v>
      </c>
      <c r="D1060" t="inlineStr">
        <is>
          <t>DALARNAS LÄN</t>
        </is>
      </c>
      <c r="E1060" t="inlineStr">
        <is>
          <t>SMEDJEBACKEN</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6340-2019</t>
        </is>
      </c>
      <c r="B1061" s="1" t="n">
        <v>43493</v>
      </c>
      <c r="C1061" s="1" t="n">
        <v>45210</v>
      </c>
      <c r="D1061" t="inlineStr">
        <is>
          <t>DALARNAS LÄN</t>
        </is>
      </c>
      <c r="E1061" t="inlineStr">
        <is>
          <t>FALUN</t>
        </is>
      </c>
      <c r="G1061" t="n">
        <v>6.1</v>
      </c>
      <c r="H1061" t="n">
        <v>0</v>
      </c>
      <c r="I1061" t="n">
        <v>0</v>
      </c>
      <c r="J1061" t="n">
        <v>0</v>
      </c>
      <c r="K1061" t="n">
        <v>0</v>
      </c>
      <c r="L1061" t="n">
        <v>0</v>
      </c>
      <c r="M1061" t="n">
        <v>0</v>
      </c>
      <c r="N1061" t="n">
        <v>0</v>
      </c>
      <c r="O1061" t="n">
        <v>0</v>
      </c>
      <c r="P1061" t="n">
        <v>0</v>
      </c>
      <c r="Q1061" t="n">
        <v>0</v>
      </c>
      <c r="R1061" s="2" t="inlineStr"/>
    </row>
    <row r="1062" ht="15" customHeight="1">
      <c r="A1062" t="inlineStr">
        <is>
          <t>A 7655-2019</t>
        </is>
      </c>
      <c r="B1062" s="1" t="n">
        <v>43493</v>
      </c>
      <c r="C1062" s="1" t="n">
        <v>45210</v>
      </c>
      <c r="D1062" t="inlineStr">
        <is>
          <t>DALARNAS LÄN</t>
        </is>
      </c>
      <c r="E1062" t="inlineStr">
        <is>
          <t>LEKSAND</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6123-2019</t>
        </is>
      </c>
      <c r="B1063" s="1" t="n">
        <v>43493</v>
      </c>
      <c r="C1063" s="1" t="n">
        <v>45210</v>
      </c>
      <c r="D1063" t="inlineStr">
        <is>
          <t>DALARNAS LÄN</t>
        </is>
      </c>
      <c r="E1063" t="inlineStr">
        <is>
          <t>MORA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6185-2019</t>
        </is>
      </c>
      <c r="B1064" s="1" t="n">
        <v>43493</v>
      </c>
      <c r="C1064" s="1" t="n">
        <v>45210</v>
      </c>
      <c r="D1064" t="inlineStr">
        <is>
          <t>DALARNAS LÄN</t>
        </is>
      </c>
      <c r="E1064" t="inlineStr">
        <is>
          <t>MORA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6172-2019</t>
        </is>
      </c>
      <c r="B1065" s="1" t="n">
        <v>43493</v>
      </c>
      <c r="C1065" s="1" t="n">
        <v>45210</v>
      </c>
      <c r="D1065" t="inlineStr">
        <is>
          <t>DALARNAS LÄN</t>
        </is>
      </c>
      <c r="E1065" t="inlineStr">
        <is>
          <t>ORSA</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6457-2019</t>
        </is>
      </c>
      <c r="B1066" s="1" t="n">
        <v>43494</v>
      </c>
      <c r="C1066" s="1" t="n">
        <v>45210</v>
      </c>
      <c r="D1066" t="inlineStr">
        <is>
          <t>DALARNAS LÄN</t>
        </is>
      </c>
      <c r="E1066" t="inlineStr">
        <is>
          <t>FALUN</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6429-2019</t>
        </is>
      </c>
      <c r="B1067" s="1" t="n">
        <v>43494</v>
      </c>
      <c r="C1067" s="1" t="n">
        <v>45210</v>
      </c>
      <c r="D1067" t="inlineStr">
        <is>
          <t>DALARNAS LÄN</t>
        </is>
      </c>
      <c r="E1067" t="inlineStr">
        <is>
          <t>ORSA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6450-2019</t>
        </is>
      </c>
      <c r="B1068" s="1" t="n">
        <v>43494</v>
      </c>
      <c r="C1068" s="1" t="n">
        <v>45210</v>
      </c>
      <c r="D1068" t="inlineStr">
        <is>
          <t>DALARNAS LÄN</t>
        </is>
      </c>
      <c r="E1068" t="inlineStr">
        <is>
          <t>LUDVIKA</t>
        </is>
      </c>
      <c r="F1068" t="inlineStr">
        <is>
          <t>Bergvik skog väst AB</t>
        </is>
      </c>
      <c r="G1068" t="n">
        <v>26.8</v>
      </c>
      <c r="H1068" t="n">
        <v>0</v>
      </c>
      <c r="I1068" t="n">
        <v>0</v>
      </c>
      <c r="J1068" t="n">
        <v>0</v>
      </c>
      <c r="K1068" t="n">
        <v>0</v>
      </c>
      <c r="L1068" t="n">
        <v>0</v>
      </c>
      <c r="M1068" t="n">
        <v>0</v>
      </c>
      <c r="N1068" t="n">
        <v>0</v>
      </c>
      <c r="O1068" t="n">
        <v>0</v>
      </c>
      <c r="P1068" t="n">
        <v>0</v>
      </c>
      <c r="Q1068" t="n">
        <v>0</v>
      </c>
      <c r="R1068" s="2" t="inlineStr"/>
    </row>
    <row r="1069" ht="15" customHeight="1">
      <c r="A1069" t="inlineStr">
        <is>
          <t>A 6596-2019</t>
        </is>
      </c>
      <c r="B1069" s="1" t="n">
        <v>43494</v>
      </c>
      <c r="C1069" s="1" t="n">
        <v>45210</v>
      </c>
      <c r="D1069" t="inlineStr">
        <is>
          <t>DALARNAS LÄN</t>
        </is>
      </c>
      <c r="E1069" t="inlineStr">
        <is>
          <t>GAGNEF</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6446-2019</t>
        </is>
      </c>
      <c r="B1070" s="1" t="n">
        <v>43494</v>
      </c>
      <c r="C1070" s="1" t="n">
        <v>45210</v>
      </c>
      <c r="D1070" t="inlineStr">
        <is>
          <t>DALARNAS LÄN</t>
        </is>
      </c>
      <c r="E1070" t="inlineStr">
        <is>
          <t>LUDVIKA</t>
        </is>
      </c>
      <c r="F1070" t="inlineStr">
        <is>
          <t>Bergvik skog väst AB</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6601-2019</t>
        </is>
      </c>
      <c r="B1071" s="1" t="n">
        <v>43494</v>
      </c>
      <c r="C1071" s="1" t="n">
        <v>45210</v>
      </c>
      <c r="D1071" t="inlineStr">
        <is>
          <t>DALARNAS LÄN</t>
        </is>
      </c>
      <c r="E1071" t="inlineStr">
        <is>
          <t>FALUN</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6821-2019</t>
        </is>
      </c>
      <c r="B1072" s="1" t="n">
        <v>43495</v>
      </c>
      <c r="C1072" s="1" t="n">
        <v>45210</v>
      </c>
      <c r="D1072" t="inlineStr">
        <is>
          <t>DALARNAS LÄN</t>
        </is>
      </c>
      <c r="E1072" t="inlineStr">
        <is>
          <t>VANSBRO</t>
        </is>
      </c>
      <c r="G1072" t="n">
        <v>5.5</v>
      </c>
      <c r="H1072" t="n">
        <v>0</v>
      </c>
      <c r="I1072" t="n">
        <v>0</v>
      </c>
      <c r="J1072" t="n">
        <v>0</v>
      </c>
      <c r="K1072" t="n">
        <v>0</v>
      </c>
      <c r="L1072" t="n">
        <v>0</v>
      </c>
      <c r="M1072" t="n">
        <v>0</v>
      </c>
      <c r="N1072" t="n">
        <v>0</v>
      </c>
      <c r="O1072" t="n">
        <v>0</v>
      </c>
      <c r="P1072" t="n">
        <v>0</v>
      </c>
      <c r="Q1072" t="n">
        <v>0</v>
      </c>
      <c r="R1072" s="2" t="inlineStr"/>
    </row>
    <row r="1073" ht="15" customHeight="1">
      <c r="A1073" t="inlineStr">
        <is>
          <t>A 6827-2019</t>
        </is>
      </c>
      <c r="B1073" s="1" t="n">
        <v>43495</v>
      </c>
      <c r="C1073" s="1" t="n">
        <v>45210</v>
      </c>
      <c r="D1073" t="inlineStr">
        <is>
          <t>DALARNAS LÄN</t>
        </is>
      </c>
      <c r="E1073" t="inlineStr">
        <is>
          <t>SÄTER</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6967-2019</t>
        </is>
      </c>
      <c r="B1074" s="1" t="n">
        <v>43495</v>
      </c>
      <c r="C1074" s="1" t="n">
        <v>45210</v>
      </c>
      <c r="D1074" t="inlineStr">
        <is>
          <t>DALARNAS LÄN</t>
        </is>
      </c>
      <c r="E1074" t="inlineStr">
        <is>
          <t>MORA</t>
        </is>
      </c>
      <c r="G1074" t="n">
        <v>20.4</v>
      </c>
      <c r="H1074" t="n">
        <v>0</v>
      </c>
      <c r="I1074" t="n">
        <v>0</v>
      </c>
      <c r="J1074" t="n">
        <v>0</v>
      </c>
      <c r="K1074" t="n">
        <v>0</v>
      </c>
      <c r="L1074" t="n">
        <v>0</v>
      </c>
      <c r="M1074" t="n">
        <v>0</v>
      </c>
      <c r="N1074" t="n">
        <v>0</v>
      </c>
      <c r="O1074" t="n">
        <v>0</v>
      </c>
      <c r="P1074" t="n">
        <v>0</v>
      </c>
      <c r="Q1074" t="n">
        <v>0</v>
      </c>
      <c r="R1074" s="2" t="inlineStr"/>
    </row>
    <row r="1075" ht="15" customHeight="1">
      <c r="A1075" t="inlineStr">
        <is>
          <t>A 6839-2019</t>
        </is>
      </c>
      <c r="B1075" s="1" t="n">
        <v>43495</v>
      </c>
      <c r="C1075" s="1" t="n">
        <v>45210</v>
      </c>
      <c r="D1075" t="inlineStr">
        <is>
          <t>DALARNAS LÄN</t>
        </is>
      </c>
      <c r="E1075" t="inlineStr">
        <is>
          <t>RÄTTVIK</t>
        </is>
      </c>
      <c r="G1075" t="n">
        <v>2.9</v>
      </c>
      <c r="H1075" t="n">
        <v>0</v>
      </c>
      <c r="I1075" t="n">
        <v>0</v>
      </c>
      <c r="J1075" t="n">
        <v>0</v>
      </c>
      <c r="K1075" t="n">
        <v>0</v>
      </c>
      <c r="L1075" t="n">
        <v>0</v>
      </c>
      <c r="M1075" t="n">
        <v>0</v>
      </c>
      <c r="N1075" t="n">
        <v>0</v>
      </c>
      <c r="O1075" t="n">
        <v>0</v>
      </c>
      <c r="P1075" t="n">
        <v>0</v>
      </c>
      <c r="Q1075" t="n">
        <v>0</v>
      </c>
      <c r="R1075" s="2" t="inlineStr"/>
    </row>
    <row r="1076" ht="15" customHeight="1">
      <c r="A1076" t="inlineStr">
        <is>
          <t>A 6957-2019</t>
        </is>
      </c>
      <c r="B1076" s="1" t="n">
        <v>43495</v>
      </c>
      <c r="C1076" s="1" t="n">
        <v>45210</v>
      </c>
      <c r="D1076" t="inlineStr">
        <is>
          <t>DALARNAS LÄN</t>
        </is>
      </c>
      <c r="E1076" t="inlineStr">
        <is>
          <t>MORA</t>
        </is>
      </c>
      <c r="G1076" t="n">
        <v>15.7</v>
      </c>
      <c r="H1076" t="n">
        <v>0</v>
      </c>
      <c r="I1076" t="n">
        <v>0</v>
      </c>
      <c r="J1076" t="n">
        <v>0</v>
      </c>
      <c r="K1076" t="n">
        <v>0</v>
      </c>
      <c r="L1076" t="n">
        <v>0</v>
      </c>
      <c r="M1076" t="n">
        <v>0</v>
      </c>
      <c r="N1076" t="n">
        <v>0</v>
      </c>
      <c r="O1076" t="n">
        <v>0</v>
      </c>
      <c r="P1076" t="n">
        <v>0</v>
      </c>
      <c r="Q1076" t="n">
        <v>0</v>
      </c>
      <c r="R1076" s="2" t="inlineStr"/>
    </row>
    <row r="1077" ht="15" customHeight="1">
      <c r="A1077" t="inlineStr">
        <is>
          <t>A 6994-2019</t>
        </is>
      </c>
      <c r="B1077" s="1" t="n">
        <v>43495</v>
      </c>
      <c r="C1077" s="1" t="n">
        <v>45210</v>
      </c>
      <c r="D1077" t="inlineStr">
        <is>
          <t>DALARNAS LÄN</t>
        </is>
      </c>
      <c r="E1077" t="inlineStr">
        <is>
          <t>MALUNG-SÄLEN</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8308-2019</t>
        </is>
      </c>
      <c r="B1078" s="1" t="n">
        <v>43497</v>
      </c>
      <c r="C1078" s="1" t="n">
        <v>45210</v>
      </c>
      <c r="D1078" t="inlineStr">
        <is>
          <t>DALARNAS LÄN</t>
        </is>
      </c>
      <c r="E1078" t="inlineStr">
        <is>
          <t>ÄLVDALEN</t>
        </is>
      </c>
      <c r="G1078" t="n">
        <v>5.2</v>
      </c>
      <c r="H1078" t="n">
        <v>0</v>
      </c>
      <c r="I1078" t="n">
        <v>0</v>
      </c>
      <c r="J1078" t="n">
        <v>0</v>
      </c>
      <c r="K1078" t="n">
        <v>0</v>
      </c>
      <c r="L1078" t="n">
        <v>0</v>
      </c>
      <c r="M1078" t="n">
        <v>0</v>
      </c>
      <c r="N1078" t="n">
        <v>0</v>
      </c>
      <c r="O1078" t="n">
        <v>0</v>
      </c>
      <c r="P1078" t="n">
        <v>0</v>
      </c>
      <c r="Q1078" t="n">
        <v>0</v>
      </c>
      <c r="R1078" s="2" t="inlineStr"/>
    </row>
    <row r="1079" ht="15" customHeight="1">
      <c r="A1079" t="inlineStr">
        <is>
          <t>A 8327-2019</t>
        </is>
      </c>
      <c r="B1079" s="1" t="n">
        <v>43497</v>
      </c>
      <c r="C1079" s="1" t="n">
        <v>45210</v>
      </c>
      <c r="D1079" t="inlineStr">
        <is>
          <t>DALARNAS LÄN</t>
        </is>
      </c>
      <c r="E1079" t="inlineStr">
        <is>
          <t>ÄLVDALEN</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7510-2019</t>
        </is>
      </c>
      <c r="B1080" s="1" t="n">
        <v>43497</v>
      </c>
      <c r="C1080" s="1" t="n">
        <v>45210</v>
      </c>
      <c r="D1080" t="inlineStr">
        <is>
          <t>DALARNAS LÄN</t>
        </is>
      </c>
      <c r="E1080" t="inlineStr">
        <is>
          <t>LUDVIKA</t>
        </is>
      </c>
      <c r="F1080" t="inlineStr">
        <is>
          <t>Kommuner</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8330-2019</t>
        </is>
      </c>
      <c r="B1081" s="1" t="n">
        <v>43497</v>
      </c>
      <c r="C1081" s="1" t="n">
        <v>45210</v>
      </c>
      <c r="D1081" t="inlineStr">
        <is>
          <t>DALARNAS LÄN</t>
        </is>
      </c>
      <c r="E1081" t="inlineStr">
        <is>
          <t>ÄLVDALEN</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7479-2019</t>
        </is>
      </c>
      <c r="B1082" s="1" t="n">
        <v>43497</v>
      </c>
      <c r="C1082" s="1" t="n">
        <v>45210</v>
      </c>
      <c r="D1082" t="inlineStr">
        <is>
          <t>DALARNAS LÄN</t>
        </is>
      </c>
      <c r="E1082" t="inlineStr">
        <is>
          <t>SMEDJEBACKEN</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7596-2019</t>
        </is>
      </c>
      <c r="B1083" s="1" t="n">
        <v>43498</v>
      </c>
      <c r="C1083" s="1" t="n">
        <v>45210</v>
      </c>
      <c r="D1083" t="inlineStr">
        <is>
          <t>DALARNAS LÄN</t>
        </is>
      </c>
      <c r="E1083" t="inlineStr">
        <is>
          <t>LEKSAND</t>
        </is>
      </c>
      <c r="G1083" t="n">
        <v>7.1</v>
      </c>
      <c r="H1083" t="n">
        <v>0</v>
      </c>
      <c r="I1083" t="n">
        <v>0</v>
      </c>
      <c r="J1083" t="n">
        <v>0</v>
      </c>
      <c r="K1083" t="n">
        <v>0</v>
      </c>
      <c r="L1083" t="n">
        <v>0</v>
      </c>
      <c r="M1083" t="n">
        <v>0</v>
      </c>
      <c r="N1083" t="n">
        <v>0</v>
      </c>
      <c r="O1083" t="n">
        <v>0</v>
      </c>
      <c r="P1083" t="n">
        <v>0</v>
      </c>
      <c r="Q1083" t="n">
        <v>0</v>
      </c>
      <c r="R1083" s="2" t="inlineStr"/>
    </row>
    <row r="1084" ht="15" customHeight="1">
      <c r="A1084" t="inlineStr">
        <is>
          <t>A 7604-2019</t>
        </is>
      </c>
      <c r="B1084" s="1" t="n">
        <v>43499</v>
      </c>
      <c r="C1084" s="1" t="n">
        <v>45210</v>
      </c>
      <c r="D1084" t="inlineStr">
        <is>
          <t>DALARNAS LÄN</t>
        </is>
      </c>
      <c r="E1084" t="inlineStr">
        <is>
          <t>AVESTA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7612-2019</t>
        </is>
      </c>
      <c r="B1085" s="1" t="n">
        <v>43499</v>
      </c>
      <c r="C1085" s="1" t="n">
        <v>45210</v>
      </c>
      <c r="D1085" t="inlineStr">
        <is>
          <t>DALARNAS LÄN</t>
        </is>
      </c>
      <c r="E1085" t="inlineStr">
        <is>
          <t>RÄTTVIK</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8440-2019</t>
        </is>
      </c>
      <c r="B1086" s="1" t="n">
        <v>43500</v>
      </c>
      <c r="C1086" s="1" t="n">
        <v>45210</v>
      </c>
      <c r="D1086" t="inlineStr">
        <is>
          <t>DALARNAS LÄN</t>
        </is>
      </c>
      <c r="E1086" t="inlineStr">
        <is>
          <t>RÄTTVIK</t>
        </is>
      </c>
      <c r="F1086" t="inlineStr">
        <is>
          <t>Övriga statliga verk och myndigheter</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8436-2019</t>
        </is>
      </c>
      <c r="B1087" s="1" t="n">
        <v>43500</v>
      </c>
      <c r="C1087" s="1" t="n">
        <v>45210</v>
      </c>
      <c r="D1087" t="inlineStr">
        <is>
          <t>DALARNAS LÄN</t>
        </is>
      </c>
      <c r="E1087" t="inlineStr">
        <is>
          <t>LUDVIKA</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8637-2019</t>
        </is>
      </c>
      <c r="B1088" s="1" t="n">
        <v>43501</v>
      </c>
      <c r="C1088" s="1" t="n">
        <v>45210</v>
      </c>
      <c r="D1088" t="inlineStr">
        <is>
          <t>DALARNAS LÄN</t>
        </is>
      </c>
      <c r="E1088" t="inlineStr">
        <is>
          <t>LUDVIKA</t>
        </is>
      </c>
      <c r="F1088" t="inlineStr">
        <is>
          <t>Bergvik skog väst AB</t>
        </is>
      </c>
      <c r="G1088" t="n">
        <v>12.3</v>
      </c>
      <c r="H1088" t="n">
        <v>0</v>
      </c>
      <c r="I1088" t="n">
        <v>0</v>
      </c>
      <c r="J1088" t="n">
        <v>0</v>
      </c>
      <c r="K1088" t="n">
        <v>0</v>
      </c>
      <c r="L1088" t="n">
        <v>0</v>
      </c>
      <c r="M1088" t="n">
        <v>0</v>
      </c>
      <c r="N1088" t="n">
        <v>0</v>
      </c>
      <c r="O1088" t="n">
        <v>0</v>
      </c>
      <c r="P1088" t="n">
        <v>0</v>
      </c>
      <c r="Q1088" t="n">
        <v>0</v>
      </c>
      <c r="R1088" s="2" t="inlineStr"/>
    </row>
    <row r="1089" ht="15" customHeight="1">
      <c r="A1089" t="inlineStr">
        <is>
          <t>A 8002-2019</t>
        </is>
      </c>
      <c r="B1089" s="1" t="n">
        <v>43501</v>
      </c>
      <c r="C1089" s="1" t="n">
        <v>45210</v>
      </c>
      <c r="D1089" t="inlineStr">
        <is>
          <t>DALARNAS LÄN</t>
        </is>
      </c>
      <c r="E1089" t="inlineStr">
        <is>
          <t>FALUN</t>
        </is>
      </c>
      <c r="F1089" t="inlineStr">
        <is>
          <t>Bergvik skog väst AB</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8077-2019</t>
        </is>
      </c>
      <c r="B1090" s="1" t="n">
        <v>43501</v>
      </c>
      <c r="C1090" s="1" t="n">
        <v>45210</v>
      </c>
      <c r="D1090" t="inlineStr">
        <is>
          <t>DALARNAS LÄN</t>
        </is>
      </c>
      <c r="E1090" t="inlineStr">
        <is>
          <t>FALUN</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8055-2019</t>
        </is>
      </c>
      <c r="B1091" s="1" t="n">
        <v>43501</v>
      </c>
      <c r="C1091" s="1" t="n">
        <v>45210</v>
      </c>
      <c r="D1091" t="inlineStr">
        <is>
          <t>DALARNAS LÄN</t>
        </is>
      </c>
      <c r="E1091" t="inlineStr">
        <is>
          <t>FALUN</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8063-2019</t>
        </is>
      </c>
      <c r="B1092" s="1" t="n">
        <v>43501</v>
      </c>
      <c r="C1092" s="1" t="n">
        <v>45210</v>
      </c>
      <c r="D1092" t="inlineStr">
        <is>
          <t>DALARNAS LÄN</t>
        </is>
      </c>
      <c r="E1092" t="inlineStr">
        <is>
          <t>VANSBRO</t>
        </is>
      </c>
      <c r="F1092" t="inlineStr">
        <is>
          <t>Bergvik skog väst AB</t>
        </is>
      </c>
      <c r="G1092" t="n">
        <v>9.4</v>
      </c>
      <c r="H1092" t="n">
        <v>0</v>
      </c>
      <c r="I1092" t="n">
        <v>0</v>
      </c>
      <c r="J1092" t="n">
        <v>0</v>
      </c>
      <c r="K1092" t="n">
        <v>0</v>
      </c>
      <c r="L1092" t="n">
        <v>0</v>
      </c>
      <c r="M1092" t="n">
        <v>0</v>
      </c>
      <c r="N1092" t="n">
        <v>0</v>
      </c>
      <c r="O1092" t="n">
        <v>0</v>
      </c>
      <c r="P1092" t="n">
        <v>0</v>
      </c>
      <c r="Q1092" t="n">
        <v>0</v>
      </c>
      <c r="R1092" s="2" t="inlineStr"/>
    </row>
    <row r="1093" ht="15" customHeight="1">
      <c r="A1093" t="inlineStr">
        <is>
          <t>A 8627-2019</t>
        </is>
      </c>
      <c r="B1093" s="1" t="n">
        <v>43501</v>
      </c>
      <c r="C1093" s="1" t="n">
        <v>45210</v>
      </c>
      <c r="D1093" t="inlineStr">
        <is>
          <t>DALARNAS LÄN</t>
        </is>
      </c>
      <c r="E1093" t="inlineStr">
        <is>
          <t>ORSA</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8555-2019</t>
        </is>
      </c>
      <c r="B1094" s="1" t="n">
        <v>43502</v>
      </c>
      <c r="C1094" s="1" t="n">
        <v>45210</v>
      </c>
      <c r="D1094" t="inlineStr">
        <is>
          <t>DALARNAS LÄN</t>
        </is>
      </c>
      <c r="E1094" t="inlineStr">
        <is>
          <t>LEKSAND</t>
        </is>
      </c>
      <c r="G1094" t="n">
        <v>5</v>
      </c>
      <c r="H1094" t="n">
        <v>0</v>
      </c>
      <c r="I1094" t="n">
        <v>0</v>
      </c>
      <c r="J1094" t="n">
        <v>0</v>
      </c>
      <c r="K1094" t="n">
        <v>0</v>
      </c>
      <c r="L1094" t="n">
        <v>0</v>
      </c>
      <c r="M1094" t="n">
        <v>0</v>
      </c>
      <c r="N1094" t="n">
        <v>0</v>
      </c>
      <c r="O1094" t="n">
        <v>0</v>
      </c>
      <c r="P1094" t="n">
        <v>0</v>
      </c>
      <c r="Q1094" t="n">
        <v>0</v>
      </c>
      <c r="R1094" s="2" t="inlineStr"/>
    </row>
    <row r="1095" ht="15" customHeight="1">
      <c r="A1095" t="inlineStr">
        <is>
          <t>A 8738-2019</t>
        </is>
      </c>
      <c r="B1095" s="1" t="n">
        <v>43502</v>
      </c>
      <c r="C1095" s="1" t="n">
        <v>45210</v>
      </c>
      <c r="D1095" t="inlineStr">
        <is>
          <t>DALARNAS LÄN</t>
        </is>
      </c>
      <c r="E1095" t="inlineStr">
        <is>
          <t>ORSA</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8732-2019</t>
        </is>
      </c>
      <c r="B1096" s="1" t="n">
        <v>43502</v>
      </c>
      <c r="C1096" s="1" t="n">
        <v>45210</v>
      </c>
      <c r="D1096" t="inlineStr">
        <is>
          <t>DALARNAS LÄN</t>
        </is>
      </c>
      <c r="E1096" t="inlineStr">
        <is>
          <t>ORSA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8288-2019</t>
        </is>
      </c>
      <c r="B1097" s="1" t="n">
        <v>43502</v>
      </c>
      <c r="C1097" s="1" t="n">
        <v>45210</v>
      </c>
      <c r="D1097" t="inlineStr">
        <is>
          <t>DALARNAS LÄN</t>
        </is>
      </c>
      <c r="E1097" t="inlineStr">
        <is>
          <t>LUDVIKA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8542-2019</t>
        </is>
      </c>
      <c r="B1098" s="1" t="n">
        <v>43502</v>
      </c>
      <c r="C1098" s="1" t="n">
        <v>45210</v>
      </c>
      <c r="D1098" t="inlineStr">
        <is>
          <t>DALARNAS LÄN</t>
        </is>
      </c>
      <c r="E1098" t="inlineStr">
        <is>
          <t>LEKSAND</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8565-2019</t>
        </is>
      </c>
      <c r="B1099" s="1" t="n">
        <v>43502</v>
      </c>
      <c r="C1099" s="1" t="n">
        <v>45210</v>
      </c>
      <c r="D1099" t="inlineStr">
        <is>
          <t>DALARNAS LÄN</t>
        </is>
      </c>
      <c r="E1099" t="inlineStr">
        <is>
          <t>FALUN</t>
        </is>
      </c>
      <c r="G1099" t="n">
        <v>7.5</v>
      </c>
      <c r="H1099" t="n">
        <v>0</v>
      </c>
      <c r="I1099" t="n">
        <v>0</v>
      </c>
      <c r="J1099" t="n">
        <v>0</v>
      </c>
      <c r="K1099" t="n">
        <v>0</v>
      </c>
      <c r="L1099" t="n">
        <v>0</v>
      </c>
      <c r="M1099" t="n">
        <v>0</v>
      </c>
      <c r="N1099" t="n">
        <v>0</v>
      </c>
      <c r="O1099" t="n">
        <v>0</v>
      </c>
      <c r="P1099" t="n">
        <v>0</v>
      </c>
      <c r="Q1099" t="n">
        <v>0</v>
      </c>
      <c r="R1099" s="2" t="inlineStr"/>
    </row>
    <row r="1100" ht="15" customHeight="1">
      <c r="A1100" t="inlineStr">
        <is>
          <t>A 8730-2019</t>
        </is>
      </c>
      <c r="B1100" s="1" t="n">
        <v>43502</v>
      </c>
      <c r="C1100" s="1" t="n">
        <v>45210</v>
      </c>
      <c r="D1100" t="inlineStr">
        <is>
          <t>DALARNAS LÄN</t>
        </is>
      </c>
      <c r="E1100" t="inlineStr">
        <is>
          <t>ORSA</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8606-2019</t>
        </is>
      </c>
      <c r="B1101" s="1" t="n">
        <v>43503</v>
      </c>
      <c r="C1101" s="1" t="n">
        <v>45210</v>
      </c>
      <c r="D1101" t="inlineStr">
        <is>
          <t>DALARNAS LÄN</t>
        </is>
      </c>
      <c r="E1101" t="inlineStr">
        <is>
          <t>VANSBRO</t>
        </is>
      </c>
      <c r="F1101" t="inlineStr">
        <is>
          <t>Bergvik skog väst AB</t>
        </is>
      </c>
      <c r="G1101" t="n">
        <v>4.4</v>
      </c>
      <c r="H1101" t="n">
        <v>0</v>
      </c>
      <c r="I1101" t="n">
        <v>0</v>
      </c>
      <c r="J1101" t="n">
        <v>0</v>
      </c>
      <c r="K1101" t="n">
        <v>0</v>
      </c>
      <c r="L1101" t="n">
        <v>0</v>
      </c>
      <c r="M1101" t="n">
        <v>0</v>
      </c>
      <c r="N1101" t="n">
        <v>0</v>
      </c>
      <c r="O1101" t="n">
        <v>0</v>
      </c>
      <c r="P1101" t="n">
        <v>0</v>
      </c>
      <c r="Q1101" t="n">
        <v>0</v>
      </c>
      <c r="R1101" s="2" t="inlineStr"/>
    </row>
    <row r="1102" ht="15" customHeight="1">
      <c r="A1102" t="inlineStr">
        <is>
          <t>A 8622-2019</t>
        </is>
      </c>
      <c r="B1102" s="1" t="n">
        <v>43503</v>
      </c>
      <c r="C1102" s="1" t="n">
        <v>45210</v>
      </c>
      <c r="D1102" t="inlineStr">
        <is>
          <t>DALARNAS LÄN</t>
        </is>
      </c>
      <c r="E1102" t="inlineStr">
        <is>
          <t>VANSBRO</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9011-2019</t>
        </is>
      </c>
      <c r="B1103" s="1" t="n">
        <v>43504</v>
      </c>
      <c r="C1103" s="1" t="n">
        <v>45210</v>
      </c>
      <c r="D1103" t="inlineStr">
        <is>
          <t>DALARNAS LÄN</t>
        </is>
      </c>
      <c r="E1103" t="inlineStr">
        <is>
          <t>GAGNEF</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9079-2019</t>
        </is>
      </c>
      <c r="B1104" s="1" t="n">
        <v>43504</v>
      </c>
      <c r="C1104" s="1" t="n">
        <v>45210</v>
      </c>
      <c r="D1104" t="inlineStr">
        <is>
          <t>DALARNAS LÄN</t>
        </is>
      </c>
      <c r="E1104" t="inlineStr">
        <is>
          <t>ÄLVDALEN</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8971-2019</t>
        </is>
      </c>
      <c r="B1105" s="1" t="n">
        <v>43504</v>
      </c>
      <c r="C1105" s="1" t="n">
        <v>45210</v>
      </c>
      <c r="D1105" t="inlineStr">
        <is>
          <t>DALARNAS LÄN</t>
        </is>
      </c>
      <c r="E1105" t="inlineStr">
        <is>
          <t>SÄTER</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9102-2019</t>
        </is>
      </c>
      <c r="B1106" s="1" t="n">
        <v>43504</v>
      </c>
      <c r="C1106" s="1" t="n">
        <v>45210</v>
      </c>
      <c r="D1106" t="inlineStr">
        <is>
          <t>DALARNAS LÄN</t>
        </is>
      </c>
      <c r="E1106" t="inlineStr">
        <is>
          <t>MALUNG-SÄLEN</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8981-2019</t>
        </is>
      </c>
      <c r="B1107" s="1" t="n">
        <v>43504</v>
      </c>
      <c r="C1107" s="1" t="n">
        <v>45210</v>
      </c>
      <c r="D1107" t="inlineStr">
        <is>
          <t>DALARNAS LÄN</t>
        </is>
      </c>
      <c r="E1107" t="inlineStr">
        <is>
          <t>HEDEMORA</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9228-2019</t>
        </is>
      </c>
      <c r="B1108" s="1" t="n">
        <v>43506</v>
      </c>
      <c r="C1108" s="1" t="n">
        <v>45210</v>
      </c>
      <c r="D1108" t="inlineStr">
        <is>
          <t>DALARNAS LÄN</t>
        </is>
      </c>
      <c r="E1108" t="inlineStr">
        <is>
          <t>SMEDJEBACKEN</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9248-2019</t>
        </is>
      </c>
      <c r="B1109" s="1" t="n">
        <v>43506</v>
      </c>
      <c r="C1109" s="1" t="n">
        <v>45210</v>
      </c>
      <c r="D1109" t="inlineStr">
        <is>
          <t>DALARNAS LÄN</t>
        </is>
      </c>
      <c r="E1109" t="inlineStr">
        <is>
          <t>SMEDJEBACKEN</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9226-2019</t>
        </is>
      </c>
      <c r="B1110" s="1" t="n">
        <v>43506</v>
      </c>
      <c r="C1110" s="1" t="n">
        <v>45210</v>
      </c>
      <c r="D1110" t="inlineStr">
        <is>
          <t>DALARNAS LÄN</t>
        </is>
      </c>
      <c r="E1110" t="inlineStr">
        <is>
          <t>SMEDJEBACKEN</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9264-2019</t>
        </is>
      </c>
      <c r="B1111" s="1" t="n">
        <v>43507</v>
      </c>
      <c r="C1111" s="1" t="n">
        <v>45210</v>
      </c>
      <c r="D1111" t="inlineStr">
        <is>
          <t>DALARNAS LÄN</t>
        </is>
      </c>
      <c r="E1111" t="inlineStr">
        <is>
          <t>BORLÄNGE</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9301-2019</t>
        </is>
      </c>
      <c r="B1112" s="1" t="n">
        <v>43507</v>
      </c>
      <c r="C1112" s="1" t="n">
        <v>45210</v>
      </c>
      <c r="D1112" t="inlineStr">
        <is>
          <t>DALARNAS LÄN</t>
        </is>
      </c>
      <c r="E1112" t="inlineStr">
        <is>
          <t>LEKSAND</t>
        </is>
      </c>
      <c r="G1112" t="n">
        <v>4.4</v>
      </c>
      <c r="H1112" t="n">
        <v>0</v>
      </c>
      <c r="I1112" t="n">
        <v>0</v>
      </c>
      <c r="J1112" t="n">
        <v>0</v>
      </c>
      <c r="K1112" t="n">
        <v>0</v>
      </c>
      <c r="L1112" t="n">
        <v>0</v>
      </c>
      <c r="M1112" t="n">
        <v>0</v>
      </c>
      <c r="N1112" t="n">
        <v>0</v>
      </c>
      <c r="O1112" t="n">
        <v>0</v>
      </c>
      <c r="P1112" t="n">
        <v>0</v>
      </c>
      <c r="Q1112" t="n">
        <v>0</v>
      </c>
      <c r="R1112" s="2" t="inlineStr"/>
    </row>
    <row r="1113" ht="15" customHeight="1">
      <c r="A1113" t="inlineStr">
        <is>
          <t>A 9357-2019</t>
        </is>
      </c>
      <c r="B1113" s="1" t="n">
        <v>43507</v>
      </c>
      <c r="C1113" s="1" t="n">
        <v>45210</v>
      </c>
      <c r="D1113" t="inlineStr">
        <is>
          <t>DALARNAS LÄN</t>
        </is>
      </c>
      <c r="E1113" t="inlineStr">
        <is>
          <t>FALUN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9283-2019</t>
        </is>
      </c>
      <c r="B1114" s="1" t="n">
        <v>43507</v>
      </c>
      <c r="C1114" s="1" t="n">
        <v>45210</v>
      </c>
      <c r="D1114" t="inlineStr">
        <is>
          <t>DALARNAS LÄN</t>
        </is>
      </c>
      <c r="E1114" t="inlineStr">
        <is>
          <t>VANSBRO</t>
        </is>
      </c>
      <c r="F1114" t="inlineStr">
        <is>
          <t>Bergvik skog väst AB</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9422-2019</t>
        </is>
      </c>
      <c r="B1115" s="1" t="n">
        <v>43507</v>
      </c>
      <c r="C1115" s="1" t="n">
        <v>45210</v>
      </c>
      <c r="D1115" t="inlineStr">
        <is>
          <t>DALARNAS LÄN</t>
        </is>
      </c>
      <c r="E1115" t="inlineStr">
        <is>
          <t>VANSBRO</t>
        </is>
      </c>
      <c r="F1115" t="inlineStr">
        <is>
          <t>Övriga statliga verk och myndigheter</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9350-2019</t>
        </is>
      </c>
      <c r="B1116" s="1" t="n">
        <v>43507</v>
      </c>
      <c r="C1116" s="1" t="n">
        <v>45210</v>
      </c>
      <c r="D1116" t="inlineStr">
        <is>
          <t>DALARNAS LÄN</t>
        </is>
      </c>
      <c r="E1116" t="inlineStr">
        <is>
          <t>HEDEMORA</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9435-2019</t>
        </is>
      </c>
      <c r="B1117" s="1" t="n">
        <v>43507</v>
      </c>
      <c r="C1117" s="1" t="n">
        <v>45210</v>
      </c>
      <c r="D1117" t="inlineStr">
        <is>
          <t>DALARNAS LÄN</t>
        </is>
      </c>
      <c r="E1117" t="inlineStr">
        <is>
          <t>VANSBRO</t>
        </is>
      </c>
      <c r="F1117" t="inlineStr">
        <is>
          <t>Övriga statliga verk och myndigheter</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9410-2019</t>
        </is>
      </c>
      <c r="B1118" s="1" t="n">
        <v>43507</v>
      </c>
      <c r="C1118" s="1" t="n">
        <v>45210</v>
      </c>
      <c r="D1118" t="inlineStr">
        <is>
          <t>DALARNAS LÄN</t>
        </is>
      </c>
      <c r="E1118" t="inlineStr">
        <is>
          <t>VANSBRO</t>
        </is>
      </c>
      <c r="F1118" t="inlineStr">
        <is>
          <t>Övriga statliga verk och myndigheter</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9744-2019</t>
        </is>
      </c>
      <c r="B1119" s="1" t="n">
        <v>43508</v>
      </c>
      <c r="C1119" s="1" t="n">
        <v>45210</v>
      </c>
      <c r="D1119" t="inlineStr">
        <is>
          <t>DALARNAS LÄN</t>
        </is>
      </c>
      <c r="E1119" t="inlineStr">
        <is>
          <t>LEKSAND</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9655-2019</t>
        </is>
      </c>
      <c r="B1120" s="1" t="n">
        <v>43508</v>
      </c>
      <c r="C1120" s="1" t="n">
        <v>45210</v>
      </c>
      <c r="D1120" t="inlineStr">
        <is>
          <t>DALARNAS LÄN</t>
        </is>
      </c>
      <c r="E1120" t="inlineStr">
        <is>
          <t>HEDEMORA</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9944-2019</t>
        </is>
      </c>
      <c r="B1121" s="1" t="n">
        <v>43509</v>
      </c>
      <c r="C1121" s="1" t="n">
        <v>45210</v>
      </c>
      <c r="D1121" t="inlineStr">
        <is>
          <t>DALARNAS LÄN</t>
        </is>
      </c>
      <c r="E1121" t="inlineStr">
        <is>
          <t>SÄTER</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9955-2019</t>
        </is>
      </c>
      <c r="B1122" s="1" t="n">
        <v>43509</v>
      </c>
      <c r="C1122" s="1" t="n">
        <v>45210</v>
      </c>
      <c r="D1122" t="inlineStr">
        <is>
          <t>DALARNAS LÄN</t>
        </is>
      </c>
      <c r="E1122" t="inlineStr">
        <is>
          <t>LEKSAND</t>
        </is>
      </c>
      <c r="F1122" t="inlineStr">
        <is>
          <t>Kommuner</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9842-2019</t>
        </is>
      </c>
      <c r="B1123" s="1" t="n">
        <v>43509</v>
      </c>
      <c r="C1123" s="1" t="n">
        <v>45210</v>
      </c>
      <c r="D1123" t="inlineStr">
        <is>
          <t>DALARNAS LÄN</t>
        </is>
      </c>
      <c r="E1123" t="inlineStr">
        <is>
          <t>VANSBRO</t>
        </is>
      </c>
      <c r="G1123" t="n">
        <v>4.7</v>
      </c>
      <c r="H1123" t="n">
        <v>0</v>
      </c>
      <c r="I1123" t="n">
        <v>0</v>
      </c>
      <c r="J1123" t="n">
        <v>0</v>
      </c>
      <c r="K1123" t="n">
        <v>0</v>
      </c>
      <c r="L1123" t="n">
        <v>0</v>
      </c>
      <c r="M1123" t="n">
        <v>0</v>
      </c>
      <c r="N1123" t="n">
        <v>0</v>
      </c>
      <c r="O1123" t="n">
        <v>0</v>
      </c>
      <c r="P1123" t="n">
        <v>0</v>
      </c>
      <c r="Q1123" t="n">
        <v>0</v>
      </c>
      <c r="R1123" s="2" t="inlineStr"/>
    </row>
    <row r="1124" ht="15" customHeight="1">
      <c r="A1124" t="inlineStr">
        <is>
          <t>A 9979-2019</t>
        </is>
      </c>
      <c r="B1124" s="1" t="n">
        <v>43509</v>
      </c>
      <c r="C1124" s="1" t="n">
        <v>45210</v>
      </c>
      <c r="D1124" t="inlineStr">
        <is>
          <t>DALARNAS LÄN</t>
        </is>
      </c>
      <c r="E1124" t="inlineStr">
        <is>
          <t>SMEDJEBACKEN</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9897-2019</t>
        </is>
      </c>
      <c r="B1125" s="1" t="n">
        <v>43509</v>
      </c>
      <c r="C1125" s="1" t="n">
        <v>45210</v>
      </c>
      <c r="D1125" t="inlineStr">
        <is>
          <t>DALARNAS LÄN</t>
        </is>
      </c>
      <c r="E1125" t="inlineStr">
        <is>
          <t>AVESTA</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9950-2019</t>
        </is>
      </c>
      <c r="B1126" s="1" t="n">
        <v>43509</v>
      </c>
      <c r="C1126" s="1" t="n">
        <v>45210</v>
      </c>
      <c r="D1126" t="inlineStr">
        <is>
          <t>DALARNAS LÄN</t>
        </is>
      </c>
      <c r="E1126" t="inlineStr">
        <is>
          <t>SÄTER</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10027-2019</t>
        </is>
      </c>
      <c r="B1127" s="1" t="n">
        <v>43510</v>
      </c>
      <c r="C1127" s="1" t="n">
        <v>45210</v>
      </c>
      <c r="D1127" t="inlineStr">
        <is>
          <t>DALARNAS LÄN</t>
        </is>
      </c>
      <c r="E1127" t="inlineStr">
        <is>
          <t>FALUN</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10236-2019</t>
        </is>
      </c>
      <c r="B1128" s="1" t="n">
        <v>43510</v>
      </c>
      <c r="C1128" s="1" t="n">
        <v>45210</v>
      </c>
      <c r="D1128" t="inlineStr">
        <is>
          <t>DALARNAS LÄN</t>
        </is>
      </c>
      <c r="E1128" t="inlineStr">
        <is>
          <t>LEKSAND</t>
        </is>
      </c>
      <c r="G1128" t="n">
        <v>0.2</v>
      </c>
      <c r="H1128" t="n">
        <v>0</v>
      </c>
      <c r="I1128" t="n">
        <v>0</v>
      </c>
      <c r="J1128" t="n">
        <v>0</v>
      </c>
      <c r="K1128" t="n">
        <v>0</v>
      </c>
      <c r="L1128" t="n">
        <v>0</v>
      </c>
      <c r="M1128" t="n">
        <v>0</v>
      </c>
      <c r="N1128" t="n">
        <v>0</v>
      </c>
      <c r="O1128" t="n">
        <v>0</v>
      </c>
      <c r="P1128" t="n">
        <v>0</v>
      </c>
      <c r="Q1128" t="n">
        <v>0</v>
      </c>
      <c r="R1128" s="2" t="inlineStr"/>
    </row>
    <row r="1129" ht="15" customHeight="1">
      <c r="A1129" t="inlineStr">
        <is>
          <t>A 10414-2019</t>
        </is>
      </c>
      <c r="B1129" s="1" t="n">
        <v>43511</v>
      </c>
      <c r="C1129" s="1" t="n">
        <v>45210</v>
      </c>
      <c r="D1129" t="inlineStr">
        <is>
          <t>DALARNAS LÄN</t>
        </is>
      </c>
      <c r="E1129" t="inlineStr">
        <is>
          <t>LEKSAND</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10518-2019</t>
        </is>
      </c>
      <c r="B1130" s="1" t="n">
        <v>43511</v>
      </c>
      <c r="C1130" s="1" t="n">
        <v>45210</v>
      </c>
      <c r="D1130" t="inlineStr">
        <is>
          <t>DALARNAS LÄN</t>
        </is>
      </c>
      <c r="E1130" t="inlineStr">
        <is>
          <t>RÄTTVIK</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10606-2019</t>
        </is>
      </c>
      <c r="B1131" s="1" t="n">
        <v>43511</v>
      </c>
      <c r="C1131" s="1" t="n">
        <v>45210</v>
      </c>
      <c r="D1131" t="inlineStr">
        <is>
          <t>DALARNAS LÄN</t>
        </is>
      </c>
      <c r="E1131" t="inlineStr">
        <is>
          <t>RÄTTVIK</t>
        </is>
      </c>
      <c r="G1131" t="n">
        <v>4.5</v>
      </c>
      <c r="H1131" t="n">
        <v>0</v>
      </c>
      <c r="I1131" t="n">
        <v>0</v>
      </c>
      <c r="J1131" t="n">
        <v>0</v>
      </c>
      <c r="K1131" t="n">
        <v>0</v>
      </c>
      <c r="L1131" t="n">
        <v>0</v>
      </c>
      <c r="M1131" t="n">
        <v>0</v>
      </c>
      <c r="N1131" t="n">
        <v>0</v>
      </c>
      <c r="O1131" t="n">
        <v>0</v>
      </c>
      <c r="P1131" t="n">
        <v>0</v>
      </c>
      <c r="Q1131" t="n">
        <v>0</v>
      </c>
      <c r="R1131" s="2" t="inlineStr"/>
    </row>
    <row r="1132" ht="15" customHeight="1">
      <c r="A1132" t="inlineStr">
        <is>
          <t>A 10658-2019</t>
        </is>
      </c>
      <c r="B1132" s="1" t="n">
        <v>43514</v>
      </c>
      <c r="C1132" s="1" t="n">
        <v>45210</v>
      </c>
      <c r="D1132" t="inlineStr">
        <is>
          <t>DALARNAS LÄN</t>
        </is>
      </c>
      <c r="E1132" t="inlineStr">
        <is>
          <t>RÄTTVIK</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10767-2019</t>
        </is>
      </c>
      <c r="B1133" s="1" t="n">
        <v>43514</v>
      </c>
      <c r="C1133" s="1" t="n">
        <v>45210</v>
      </c>
      <c r="D1133" t="inlineStr">
        <is>
          <t>DALARNAS LÄN</t>
        </is>
      </c>
      <c r="E1133" t="inlineStr">
        <is>
          <t>GAGNEF</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10666-2019</t>
        </is>
      </c>
      <c r="B1134" s="1" t="n">
        <v>43514</v>
      </c>
      <c r="C1134" s="1" t="n">
        <v>45210</v>
      </c>
      <c r="D1134" t="inlineStr">
        <is>
          <t>DALARNAS LÄN</t>
        </is>
      </c>
      <c r="E1134" t="inlineStr">
        <is>
          <t>SÄTER</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10940-2019</t>
        </is>
      </c>
      <c r="B1135" s="1" t="n">
        <v>43515</v>
      </c>
      <c r="C1135" s="1" t="n">
        <v>45210</v>
      </c>
      <c r="D1135" t="inlineStr">
        <is>
          <t>DALARNAS LÄN</t>
        </is>
      </c>
      <c r="E1135" t="inlineStr">
        <is>
          <t>SMEDJEBACKEN</t>
        </is>
      </c>
      <c r="F1135" t="inlineStr">
        <is>
          <t>Bergvik skog väst AB</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11156-2019</t>
        </is>
      </c>
      <c r="B1136" s="1" t="n">
        <v>43516</v>
      </c>
      <c r="C1136" s="1" t="n">
        <v>45210</v>
      </c>
      <c r="D1136" t="inlineStr">
        <is>
          <t>DALARNAS LÄN</t>
        </is>
      </c>
      <c r="E1136" t="inlineStr">
        <is>
          <t>VANSBRO</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11206-2019</t>
        </is>
      </c>
      <c r="B1137" s="1" t="n">
        <v>43516</v>
      </c>
      <c r="C1137" s="1" t="n">
        <v>45210</v>
      </c>
      <c r="D1137" t="inlineStr">
        <is>
          <t>DALARNAS LÄN</t>
        </is>
      </c>
      <c r="E1137" t="inlineStr">
        <is>
          <t>SÄTER</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11614-2019</t>
        </is>
      </c>
      <c r="B1138" s="1" t="n">
        <v>43517</v>
      </c>
      <c r="C1138" s="1" t="n">
        <v>45210</v>
      </c>
      <c r="D1138" t="inlineStr">
        <is>
          <t>DALARNAS LÄN</t>
        </is>
      </c>
      <c r="E1138" t="inlineStr">
        <is>
          <t>ORSA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11493-2019</t>
        </is>
      </c>
      <c r="B1139" s="1" t="n">
        <v>43517</v>
      </c>
      <c r="C1139" s="1" t="n">
        <v>45210</v>
      </c>
      <c r="D1139" t="inlineStr">
        <is>
          <t>DALARNAS LÄN</t>
        </is>
      </c>
      <c r="E1139" t="inlineStr">
        <is>
          <t>FALUN</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11611-2019</t>
        </is>
      </c>
      <c r="B1140" s="1" t="n">
        <v>43517</v>
      </c>
      <c r="C1140" s="1" t="n">
        <v>45210</v>
      </c>
      <c r="D1140" t="inlineStr">
        <is>
          <t>DALARNAS LÄN</t>
        </is>
      </c>
      <c r="E1140" t="inlineStr">
        <is>
          <t>RÄTTVIK</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11545-2019</t>
        </is>
      </c>
      <c r="B1141" s="1" t="n">
        <v>43518</v>
      </c>
      <c r="C1141" s="1" t="n">
        <v>45210</v>
      </c>
      <c r="D1141" t="inlineStr">
        <is>
          <t>DALARNAS LÄN</t>
        </is>
      </c>
      <c r="E1141" t="inlineStr">
        <is>
          <t>MALUNG-SÄLEN</t>
        </is>
      </c>
      <c r="G1141" t="n">
        <v>7.6</v>
      </c>
      <c r="H1141" t="n">
        <v>0</v>
      </c>
      <c r="I1141" t="n">
        <v>0</v>
      </c>
      <c r="J1141" t="n">
        <v>0</v>
      </c>
      <c r="K1141" t="n">
        <v>0</v>
      </c>
      <c r="L1141" t="n">
        <v>0</v>
      </c>
      <c r="M1141" t="n">
        <v>0</v>
      </c>
      <c r="N1141" t="n">
        <v>0</v>
      </c>
      <c r="O1141" t="n">
        <v>0</v>
      </c>
      <c r="P1141" t="n">
        <v>0</v>
      </c>
      <c r="Q1141" t="n">
        <v>0</v>
      </c>
      <c r="R1141" s="2" t="inlineStr"/>
    </row>
    <row r="1142" ht="15" customHeight="1">
      <c r="A1142" t="inlineStr">
        <is>
          <t>A 11546-2019</t>
        </is>
      </c>
      <c r="B1142" s="1" t="n">
        <v>43518</v>
      </c>
      <c r="C1142" s="1" t="n">
        <v>45210</v>
      </c>
      <c r="D1142" t="inlineStr">
        <is>
          <t>DALARNAS LÄN</t>
        </is>
      </c>
      <c r="E1142" t="inlineStr">
        <is>
          <t>MALUNG-SÄLEN</t>
        </is>
      </c>
      <c r="G1142" t="n">
        <v>6.1</v>
      </c>
      <c r="H1142" t="n">
        <v>0</v>
      </c>
      <c r="I1142" t="n">
        <v>0</v>
      </c>
      <c r="J1142" t="n">
        <v>0</v>
      </c>
      <c r="K1142" t="n">
        <v>0</v>
      </c>
      <c r="L1142" t="n">
        <v>0</v>
      </c>
      <c r="M1142" t="n">
        <v>0</v>
      </c>
      <c r="N1142" t="n">
        <v>0</v>
      </c>
      <c r="O1142" t="n">
        <v>0</v>
      </c>
      <c r="P1142" t="n">
        <v>0</v>
      </c>
      <c r="Q1142" t="n">
        <v>0</v>
      </c>
      <c r="R1142" s="2" t="inlineStr"/>
    </row>
    <row r="1143" ht="15" customHeight="1">
      <c r="A1143" t="inlineStr">
        <is>
          <t>A 11830-2019</t>
        </is>
      </c>
      <c r="B1143" s="1" t="n">
        <v>43521</v>
      </c>
      <c r="C1143" s="1" t="n">
        <v>45210</v>
      </c>
      <c r="D1143" t="inlineStr">
        <is>
          <t>DALARNAS LÄN</t>
        </is>
      </c>
      <c r="E1143" t="inlineStr">
        <is>
          <t>FALUN</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12106-2019</t>
        </is>
      </c>
      <c r="B1144" s="1" t="n">
        <v>43521</v>
      </c>
      <c r="C1144" s="1" t="n">
        <v>45210</v>
      </c>
      <c r="D1144" t="inlineStr">
        <is>
          <t>DALARNAS LÄN</t>
        </is>
      </c>
      <c r="E1144" t="inlineStr">
        <is>
          <t>GAGNEF</t>
        </is>
      </c>
      <c r="G1144" t="n">
        <v>8</v>
      </c>
      <c r="H1144" t="n">
        <v>0</v>
      </c>
      <c r="I1144" t="n">
        <v>0</v>
      </c>
      <c r="J1144" t="n">
        <v>0</v>
      </c>
      <c r="K1144" t="n">
        <v>0</v>
      </c>
      <c r="L1144" t="n">
        <v>0</v>
      </c>
      <c r="M1144" t="n">
        <v>0</v>
      </c>
      <c r="N1144" t="n">
        <v>0</v>
      </c>
      <c r="O1144" t="n">
        <v>0</v>
      </c>
      <c r="P1144" t="n">
        <v>0</v>
      </c>
      <c r="Q1144" t="n">
        <v>0</v>
      </c>
      <c r="R1144" s="2" t="inlineStr"/>
    </row>
    <row r="1145" ht="15" customHeight="1">
      <c r="A1145" t="inlineStr">
        <is>
          <t>A 12183-2019</t>
        </is>
      </c>
      <c r="B1145" s="1" t="n">
        <v>43522</v>
      </c>
      <c r="C1145" s="1" t="n">
        <v>45210</v>
      </c>
      <c r="D1145" t="inlineStr">
        <is>
          <t>DALARNAS LÄN</t>
        </is>
      </c>
      <c r="E1145" t="inlineStr">
        <is>
          <t>MALUNG-SÄLEN</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12219-2019</t>
        </is>
      </c>
      <c r="B1146" s="1" t="n">
        <v>43522</v>
      </c>
      <c r="C1146" s="1" t="n">
        <v>45210</v>
      </c>
      <c r="D1146" t="inlineStr">
        <is>
          <t>DALARNAS LÄN</t>
        </is>
      </c>
      <c r="E1146" t="inlineStr">
        <is>
          <t>FALUN</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12180-2019</t>
        </is>
      </c>
      <c r="B1147" s="1" t="n">
        <v>43522</v>
      </c>
      <c r="C1147" s="1" t="n">
        <v>45210</v>
      </c>
      <c r="D1147" t="inlineStr">
        <is>
          <t>DALARNAS LÄN</t>
        </is>
      </c>
      <c r="E1147" t="inlineStr">
        <is>
          <t>MALUNG-SÄLEN</t>
        </is>
      </c>
      <c r="G1147" t="n">
        <v>5.9</v>
      </c>
      <c r="H1147" t="n">
        <v>0</v>
      </c>
      <c r="I1147" t="n">
        <v>0</v>
      </c>
      <c r="J1147" t="n">
        <v>0</v>
      </c>
      <c r="K1147" t="n">
        <v>0</v>
      </c>
      <c r="L1147" t="n">
        <v>0</v>
      </c>
      <c r="M1147" t="n">
        <v>0</v>
      </c>
      <c r="N1147" t="n">
        <v>0</v>
      </c>
      <c r="O1147" t="n">
        <v>0</v>
      </c>
      <c r="P1147" t="n">
        <v>0</v>
      </c>
      <c r="Q1147" t="n">
        <v>0</v>
      </c>
      <c r="R1147" s="2" t="inlineStr"/>
    </row>
    <row r="1148" ht="15" customHeight="1">
      <c r="A1148" t="inlineStr">
        <is>
          <t>A 12162-2019</t>
        </is>
      </c>
      <c r="B1148" s="1" t="n">
        <v>43522</v>
      </c>
      <c r="C1148" s="1" t="n">
        <v>45210</v>
      </c>
      <c r="D1148" t="inlineStr">
        <is>
          <t>DALARNAS LÄN</t>
        </is>
      </c>
      <c r="E1148" t="inlineStr">
        <is>
          <t>ÄLVDALEN</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12168-2019</t>
        </is>
      </c>
      <c r="B1149" s="1" t="n">
        <v>43522</v>
      </c>
      <c r="C1149" s="1" t="n">
        <v>45210</v>
      </c>
      <c r="D1149" t="inlineStr">
        <is>
          <t>DALARNAS LÄN</t>
        </is>
      </c>
      <c r="E1149" t="inlineStr">
        <is>
          <t>LEKSAND</t>
        </is>
      </c>
      <c r="F1149" t="inlineStr">
        <is>
          <t>Kommuner</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12223-2019</t>
        </is>
      </c>
      <c r="B1150" s="1" t="n">
        <v>43522</v>
      </c>
      <c r="C1150" s="1" t="n">
        <v>45210</v>
      </c>
      <c r="D1150" t="inlineStr">
        <is>
          <t>DALARNAS LÄN</t>
        </is>
      </c>
      <c r="E1150" t="inlineStr">
        <is>
          <t>FALUN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12260-2019</t>
        </is>
      </c>
      <c r="B1151" s="1" t="n">
        <v>43523</v>
      </c>
      <c r="C1151" s="1" t="n">
        <v>45210</v>
      </c>
      <c r="D1151" t="inlineStr">
        <is>
          <t>DALARNAS LÄN</t>
        </is>
      </c>
      <c r="E1151" t="inlineStr">
        <is>
          <t>MALUNG-SÄLEN</t>
        </is>
      </c>
      <c r="G1151" t="n">
        <v>3.4</v>
      </c>
      <c r="H1151" t="n">
        <v>0</v>
      </c>
      <c r="I1151" t="n">
        <v>0</v>
      </c>
      <c r="J1151" t="n">
        <v>0</v>
      </c>
      <c r="K1151" t="n">
        <v>0</v>
      </c>
      <c r="L1151" t="n">
        <v>0</v>
      </c>
      <c r="M1151" t="n">
        <v>0</v>
      </c>
      <c r="N1151" t="n">
        <v>0</v>
      </c>
      <c r="O1151" t="n">
        <v>0</v>
      </c>
      <c r="P1151" t="n">
        <v>0</v>
      </c>
      <c r="Q1151" t="n">
        <v>0</v>
      </c>
      <c r="R1151" s="2" t="inlineStr"/>
    </row>
    <row r="1152" ht="15" customHeight="1">
      <c r="A1152" t="inlineStr">
        <is>
          <t>A 12359-2019</t>
        </is>
      </c>
      <c r="B1152" s="1" t="n">
        <v>43523</v>
      </c>
      <c r="C1152" s="1" t="n">
        <v>45210</v>
      </c>
      <c r="D1152" t="inlineStr">
        <is>
          <t>DALARNAS LÄN</t>
        </is>
      </c>
      <c r="E1152" t="inlineStr">
        <is>
          <t>HEDEMORA</t>
        </is>
      </c>
      <c r="G1152" t="n">
        <v>0.1</v>
      </c>
      <c r="H1152" t="n">
        <v>0</v>
      </c>
      <c r="I1152" t="n">
        <v>0</v>
      </c>
      <c r="J1152" t="n">
        <v>0</v>
      </c>
      <c r="K1152" t="n">
        <v>0</v>
      </c>
      <c r="L1152" t="n">
        <v>0</v>
      </c>
      <c r="M1152" t="n">
        <v>0</v>
      </c>
      <c r="N1152" t="n">
        <v>0</v>
      </c>
      <c r="O1152" t="n">
        <v>0</v>
      </c>
      <c r="P1152" t="n">
        <v>0</v>
      </c>
      <c r="Q1152" t="n">
        <v>0</v>
      </c>
      <c r="R1152" s="2" t="inlineStr"/>
    </row>
    <row r="1153" ht="15" customHeight="1">
      <c r="A1153" t="inlineStr">
        <is>
          <t>A 12367-2019</t>
        </is>
      </c>
      <c r="B1153" s="1" t="n">
        <v>43523</v>
      </c>
      <c r="C1153" s="1" t="n">
        <v>45210</v>
      </c>
      <c r="D1153" t="inlineStr">
        <is>
          <t>DALARNAS LÄN</t>
        </is>
      </c>
      <c r="E1153" t="inlineStr">
        <is>
          <t>HEDEMORA</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12444-2019</t>
        </is>
      </c>
      <c r="B1154" s="1" t="n">
        <v>43523</v>
      </c>
      <c r="C1154" s="1" t="n">
        <v>45210</v>
      </c>
      <c r="D1154" t="inlineStr">
        <is>
          <t>DALARNAS LÄN</t>
        </is>
      </c>
      <c r="E1154" t="inlineStr">
        <is>
          <t>MALUNG-SÄLEN</t>
        </is>
      </c>
      <c r="F1154" t="inlineStr">
        <is>
          <t>Övriga statliga verk och myndigheter</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12380-2019</t>
        </is>
      </c>
      <c r="B1155" s="1" t="n">
        <v>43523</v>
      </c>
      <c r="C1155" s="1" t="n">
        <v>45210</v>
      </c>
      <c r="D1155" t="inlineStr">
        <is>
          <t>DALARNAS LÄN</t>
        </is>
      </c>
      <c r="E1155" t="inlineStr">
        <is>
          <t>HEDEMORA</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12430-2019</t>
        </is>
      </c>
      <c r="B1156" s="1" t="n">
        <v>43523</v>
      </c>
      <c r="C1156" s="1" t="n">
        <v>45210</v>
      </c>
      <c r="D1156" t="inlineStr">
        <is>
          <t>DALARNAS LÄN</t>
        </is>
      </c>
      <c r="E1156" t="inlineStr">
        <is>
          <t>LEKSAND</t>
        </is>
      </c>
      <c r="G1156" t="n">
        <v>3.6</v>
      </c>
      <c r="H1156" t="n">
        <v>0</v>
      </c>
      <c r="I1156" t="n">
        <v>0</v>
      </c>
      <c r="J1156" t="n">
        <v>0</v>
      </c>
      <c r="K1156" t="n">
        <v>0</v>
      </c>
      <c r="L1156" t="n">
        <v>0</v>
      </c>
      <c r="M1156" t="n">
        <v>0</v>
      </c>
      <c r="N1156" t="n">
        <v>0</v>
      </c>
      <c r="O1156" t="n">
        <v>0</v>
      </c>
      <c r="P1156" t="n">
        <v>0</v>
      </c>
      <c r="Q1156" t="n">
        <v>0</v>
      </c>
      <c r="R1156" s="2" t="inlineStr"/>
    </row>
    <row r="1157" ht="15" customHeight="1">
      <c r="A1157" t="inlineStr">
        <is>
          <t>A 12442-2019</t>
        </is>
      </c>
      <c r="B1157" s="1" t="n">
        <v>43523</v>
      </c>
      <c r="C1157" s="1" t="n">
        <v>45210</v>
      </c>
      <c r="D1157" t="inlineStr">
        <is>
          <t>DALARNAS LÄN</t>
        </is>
      </c>
      <c r="E1157" t="inlineStr">
        <is>
          <t>MALUNG-SÄLEN</t>
        </is>
      </c>
      <c r="F1157" t="inlineStr">
        <is>
          <t>Övriga statliga verk och myndigheter</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12575-2019</t>
        </is>
      </c>
      <c r="B1158" s="1" t="n">
        <v>43524</v>
      </c>
      <c r="C1158" s="1" t="n">
        <v>45210</v>
      </c>
      <c r="D1158" t="inlineStr">
        <is>
          <t>DALARNAS LÄN</t>
        </is>
      </c>
      <c r="E1158" t="inlineStr">
        <is>
          <t>RÄTTVIK</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12819-2019</t>
        </is>
      </c>
      <c r="B1159" s="1" t="n">
        <v>43525</v>
      </c>
      <c r="C1159" s="1" t="n">
        <v>45210</v>
      </c>
      <c r="D1159" t="inlineStr">
        <is>
          <t>DALARNAS LÄN</t>
        </is>
      </c>
      <c r="E1159" t="inlineStr">
        <is>
          <t>FALUN</t>
        </is>
      </c>
      <c r="G1159" t="n">
        <v>5.9</v>
      </c>
      <c r="H1159" t="n">
        <v>0</v>
      </c>
      <c r="I1159" t="n">
        <v>0</v>
      </c>
      <c r="J1159" t="n">
        <v>0</v>
      </c>
      <c r="K1159" t="n">
        <v>0</v>
      </c>
      <c r="L1159" t="n">
        <v>0</v>
      </c>
      <c r="M1159" t="n">
        <v>0</v>
      </c>
      <c r="N1159" t="n">
        <v>0</v>
      </c>
      <c r="O1159" t="n">
        <v>0</v>
      </c>
      <c r="P1159" t="n">
        <v>0</v>
      </c>
      <c r="Q1159" t="n">
        <v>0</v>
      </c>
      <c r="R1159" s="2" t="inlineStr"/>
    </row>
    <row r="1160" ht="15" customHeight="1">
      <c r="A1160" t="inlineStr">
        <is>
          <t>A 13083-2019</t>
        </is>
      </c>
      <c r="B1160" s="1" t="n">
        <v>43528</v>
      </c>
      <c r="C1160" s="1" t="n">
        <v>45210</v>
      </c>
      <c r="D1160" t="inlineStr">
        <is>
          <t>DALARNAS LÄN</t>
        </is>
      </c>
      <c r="E1160" t="inlineStr">
        <is>
          <t>AVESTA</t>
        </is>
      </c>
      <c r="G1160" t="n">
        <v>3.4</v>
      </c>
      <c r="H1160" t="n">
        <v>0</v>
      </c>
      <c r="I1160" t="n">
        <v>0</v>
      </c>
      <c r="J1160" t="n">
        <v>0</v>
      </c>
      <c r="K1160" t="n">
        <v>0</v>
      </c>
      <c r="L1160" t="n">
        <v>0</v>
      </c>
      <c r="M1160" t="n">
        <v>0</v>
      </c>
      <c r="N1160" t="n">
        <v>0</v>
      </c>
      <c r="O1160" t="n">
        <v>0</v>
      </c>
      <c r="P1160" t="n">
        <v>0</v>
      </c>
      <c r="Q1160" t="n">
        <v>0</v>
      </c>
      <c r="R1160" s="2" t="inlineStr"/>
    </row>
    <row r="1161" ht="15" customHeight="1">
      <c r="A1161" t="inlineStr">
        <is>
          <t>A 13154-2019</t>
        </is>
      </c>
      <c r="B1161" s="1" t="n">
        <v>43528</v>
      </c>
      <c r="C1161" s="1" t="n">
        <v>45210</v>
      </c>
      <c r="D1161" t="inlineStr">
        <is>
          <t>DALARNAS LÄN</t>
        </is>
      </c>
      <c r="E1161" t="inlineStr">
        <is>
          <t>GAGNEF</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17119-2019</t>
        </is>
      </c>
      <c r="B1162" s="1" t="n">
        <v>43528</v>
      </c>
      <c r="C1162" s="1" t="n">
        <v>45210</v>
      </c>
      <c r="D1162" t="inlineStr">
        <is>
          <t>DALARNAS LÄN</t>
        </is>
      </c>
      <c r="E1162" t="inlineStr">
        <is>
          <t>GAGNEF</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13150-2019</t>
        </is>
      </c>
      <c r="B1163" s="1" t="n">
        <v>43528</v>
      </c>
      <c r="C1163" s="1" t="n">
        <v>45210</v>
      </c>
      <c r="D1163" t="inlineStr">
        <is>
          <t>DALARNAS LÄN</t>
        </is>
      </c>
      <c r="E1163" t="inlineStr">
        <is>
          <t>MALUNG-SÄLEN</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14094-2019</t>
        </is>
      </c>
      <c r="B1164" s="1" t="n">
        <v>43529</v>
      </c>
      <c r="C1164" s="1" t="n">
        <v>45210</v>
      </c>
      <c r="D1164" t="inlineStr">
        <is>
          <t>DALARNAS LÄN</t>
        </is>
      </c>
      <c r="E1164" t="inlineStr">
        <is>
          <t>ORSA</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13286-2019</t>
        </is>
      </c>
      <c r="B1165" s="1" t="n">
        <v>43529</v>
      </c>
      <c r="C1165" s="1" t="n">
        <v>45210</v>
      </c>
      <c r="D1165" t="inlineStr">
        <is>
          <t>DALARNAS LÄN</t>
        </is>
      </c>
      <c r="E1165" t="inlineStr">
        <is>
          <t>MALUNG-SÄLEN</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13428-2019</t>
        </is>
      </c>
      <c r="B1166" s="1" t="n">
        <v>43529</v>
      </c>
      <c r="C1166" s="1" t="n">
        <v>45210</v>
      </c>
      <c r="D1166" t="inlineStr">
        <is>
          <t>DALARNAS LÄN</t>
        </is>
      </c>
      <c r="E1166" t="inlineStr">
        <is>
          <t>FALUN</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14089-2019</t>
        </is>
      </c>
      <c r="B1167" s="1" t="n">
        <v>43529</v>
      </c>
      <c r="C1167" s="1" t="n">
        <v>45210</v>
      </c>
      <c r="D1167" t="inlineStr">
        <is>
          <t>DALARNAS LÄN</t>
        </is>
      </c>
      <c r="E1167" t="inlineStr">
        <is>
          <t>ORSA</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13633-2019</t>
        </is>
      </c>
      <c r="B1168" s="1" t="n">
        <v>43530</v>
      </c>
      <c r="C1168" s="1" t="n">
        <v>45210</v>
      </c>
      <c r="D1168" t="inlineStr">
        <is>
          <t>DALARNAS LÄN</t>
        </is>
      </c>
      <c r="E1168" t="inlineStr">
        <is>
          <t>MORA</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13554-2019</t>
        </is>
      </c>
      <c r="B1169" s="1" t="n">
        <v>43530</v>
      </c>
      <c r="C1169" s="1" t="n">
        <v>45210</v>
      </c>
      <c r="D1169" t="inlineStr">
        <is>
          <t>DALARNAS LÄN</t>
        </is>
      </c>
      <c r="E1169" t="inlineStr">
        <is>
          <t>LEKSAND</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13560-2019</t>
        </is>
      </c>
      <c r="B1170" s="1" t="n">
        <v>43530</v>
      </c>
      <c r="C1170" s="1" t="n">
        <v>45210</v>
      </c>
      <c r="D1170" t="inlineStr">
        <is>
          <t>DALARNAS LÄN</t>
        </is>
      </c>
      <c r="E1170" t="inlineStr">
        <is>
          <t>GAGNEF</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13753-2019</t>
        </is>
      </c>
      <c r="B1171" s="1" t="n">
        <v>43531</v>
      </c>
      <c r="C1171" s="1" t="n">
        <v>45210</v>
      </c>
      <c r="D1171" t="inlineStr">
        <is>
          <t>DALARNAS LÄN</t>
        </is>
      </c>
      <c r="E1171" t="inlineStr">
        <is>
          <t>SÄTER</t>
        </is>
      </c>
      <c r="F1171" t="inlineStr">
        <is>
          <t>Bergvik skog väst AB</t>
        </is>
      </c>
      <c r="G1171" t="n">
        <v>0.3</v>
      </c>
      <c r="H1171" t="n">
        <v>0</v>
      </c>
      <c r="I1171" t="n">
        <v>0</v>
      </c>
      <c r="J1171" t="n">
        <v>0</v>
      </c>
      <c r="K1171" t="n">
        <v>0</v>
      </c>
      <c r="L1171" t="n">
        <v>0</v>
      </c>
      <c r="M1171" t="n">
        <v>0</v>
      </c>
      <c r="N1171" t="n">
        <v>0</v>
      </c>
      <c r="O1171" t="n">
        <v>0</v>
      </c>
      <c r="P1171" t="n">
        <v>0</v>
      </c>
      <c r="Q1171" t="n">
        <v>0</v>
      </c>
      <c r="R1171" s="2" t="inlineStr"/>
    </row>
    <row r="1172" ht="15" customHeight="1">
      <c r="A1172" t="inlineStr">
        <is>
          <t>A 13808-2019</t>
        </is>
      </c>
      <c r="B1172" s="1" t="n">
        <v>43531</v>
      </c>
      <c r="C1172" s="1" t="n">
        <v>45210</v>
      </c>
      <c r="D1172" t="inlineStr">
        <is>
          <t>DALARNAS LÄN</t>
        </is>
      </c>
      <c r="E1172" t="inlineStr">
        <is>
          <t>LUDVIKA</t>
        </is>
      </c>
      <c r="F1172" t="inlineStr">
        <is>
          <t>Bergvik skog väst AB</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13934-2019</t>
        </is>
      </c>
      <c r="B1173" s="1" t="n">
        <v>43531</v>
      </c>
      <c r="C1173" s="1" t="n">
        <v>45210</v>
      </c>
      <c r="D1173" t="inlineStr">
        <is>
          <t>DALARNAS LÄN</t>
        </is>
      </c>
      <c r="E1173" t="inlineStr">
        <is>
          <t>SMEDJEBACKEN</t>
        </is>
      </c>
      <c r="F1173" t="inlineStr">
        <is>
          <t>Kommuner</t>
        </is>
      </c>
      <c r="G1173" t="n">
        <v>7.8</v>
      </c>
      <c r="H1173" t="n">
        <v>0</v>
      </c>
      <c r="I1173" t="n">
        <v>0</v>
      </c>
      <c r="J1173" t="n">
        <v>0</v>
      </c>
      <c r="K1173" t="n">
        <v>0</v>
      </c>
      <c r="L1173" t="n">
        <v>0</v>
      </c>
      <c r="M1173" t="n">
        <v>0</v>
      </c>
      <c r="N1173" t="n">
        <v>0</v>
      </c>
      <c r="O1173" t="n">
        <v>0</v>
      </c>
      <c r="P1173" t="n">
        <v>0</v>
      </c>
      <c r="Q1173" t="n">
        <v>0</v>
      </c>
      <c r="R1173" s="2" t="inlineStr"/>
    </row>
    <row r="1174" ht="15" customHeight="1">
      <c r="A1174" t="inlineStr">
        <is>
          <t>A 13848-2019</t>
        </is>
      </c>
      <c r="B1174" s="1" t="n">
        <v>43531</v>
      </c>
      <c r="C1174" s="1" t="n">
        <v>45210</v>
      </c>
      <c r="D1174" t="inlineStr">
        <is>
          <t>DALARNAS LÄN</t>
        </is>
      </c>
      <c r="E1174" t="inlineStr">
        <is>
          <t>SÄTER</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14132-2019</t>
        </is>
      </c>
      <c r="B1175" s="1" t="n">
        <v>43532</v>
      </c>
      <c r="C1175" s="1" t="n">
        <v>45210</v>
      </c>
      <c r="D1175" t="inlineStr">
        <is>
          <t>DALARNAS LÄN</t>
        </is>
      </c>
      <c r="E1175" t="inlineStr">
        <is>
          <t>FALUN</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13951-2019</t>
        </is>
      </c>
      <c r="B1176" s="1" t="n">
        <v>43532</v>
      </c>
      <c r="C1176" s="1" t="n">
        <v>45210</v>
      </c>
      <c r="D1176" t="inlineStr">
        <is>
          <t>DALARNAS LÄN</t>
        </is>
      </c>
      <c r="E1176" t="inlineStr">
        <is>
          <t>LUDVIKA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14051-2019</t>
        </is>
      </c>
      <c r="B1177" s="1" t="n">
        <v>43532</v>
      </c>
      <c r="C1177" s="1" t="n">
        <v>45210</v>
      </c>
      <c r="D1177" t="inlineStr">
        <is>
          <t>DALARNAS LÄN</t>
        </is>
      </c>
      <c r="E1177" t="inlineStr">
        <is>
          <t>FALUN</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14501-2019</t>
        </is>
      </c>
      <c r="B1178" s="1" t="n">
        <v>43535</v>
      </c>
      <c r="C1178" s="1" t="n">
        <v>45210</v>
      </c>
      <c r="D1178" t="inlineStr">
        <is>
          <t>DALARNAS LÄN</t>
        </is>
      </c>
      <c r="E1178" t="inlineStr">
        <is>
          <t>LEKSAND</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14371-2019</t>
        </is>
      </c>
      <c r="B1179" s="1" t="n">
        <v>43536</v>
      </c>
      <c r="C1179" s="1" t="n">
        <v>45210</v>
      </c>
      <c r="D1179" t="inlineStr">
        <is>
          <t>DALARNAS LÄN</t>
        </is>
      </c>
      <c r="E1179" t="inlineStr">
        <is>
          <t>SMEDJEBACKEN</t>
        </is>
      </c>
      <c r="F1179" t="inlineStr">
        <is>
          <t>Sveaskog</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14442-2019</t>
        </is>
      </c>
      <c r="B1180" s="1" t="n">
        <v>43536</v>
      </c>
      <c r="C1180" s="1" t="n">
        <v>45210</v>
      </c>
      <c r="D1180" t="inlineStr">
        <is>
          <t>DALARNAS LÄN</t>
        </is>
      </c>
      <c r="E1180" t="inlineStr">
        <is>
          <t>FALUN</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14365-2019</t>
        </is>
      </c>
      <c r="B1181" s="1" t="n">
        <v>43536</v>
      </c>
      <c r="C1181" s="1" t="n">
        <v>45210</v>
      </c>
      <c r="D1181" t="inlineStr">
        <is>
          <t>DALARNAS LÄN</t>
        </is>
      </c>
      <c r="E1181" t="inlineStr">
        <is>
          <t>HEDEMORA</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14496-2019</t>
        </is>
      </c>
      <c r="B1182" s="1" t="n">
        <v>43537</v>
      </c>
      <c r="C1182" s="1" t="n">
        <v>45210</v>
      </c>
      <c r="D1182" t="inlineStr">
        <is>
          <t>DALARNAS LÄN</t>
        </is>
      </c>
      <c r="E1182" t="inlineStr">
        <is>
          <t>FALUN</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14990-2019</t>
        </is>
      </c>
      <c r="B1183" s="1" t="n">
        <v>43537</v>
      </c>
      <c r="C1183" s="1" t="n">
        <v>45210</v>
      </c>
      <c r="D1183" t="inlineStr">
        <is>
          <t>DALARNAS LÄN</t>
        </is>
      </c>
      <c r="E1183" t="inlineStr">
        <is>
          <t>MALUNG-SÄLEN</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15040-2019</t>
        </is>
      </c>
      <c r="B1184" s="1" t="n">
        <v>43538</v>
      </c>
      <c r="C1184" s="1" t="n">
        <v>45210</v>
      </c>
      <c r="D1184" t="inlineStr">
        <is>
          <t>DALARNAS LÄN</t>
        </is>
      </c>
      <c r="E1184" t="inlineStr">
        <is>
          <t>MALUNG-SÄLEN</t>
        </is>
      </c>
      <c r="G1184" t="n">
        <v>13.2</v>
      </c>
      <c r="H1184" t="n">
        <v>0</v>
      </c>
      <c r="I1184" t="n">
        <v>0</v>
      </c>
      <c r="J1184" t="n">
        <v>0</v>
      </c>
      <c r="K1184" t="n">
        <v>0</v>
      </c>
      <c r="L1184" t="n">
        <v>0</v>
      </c>
      <c r="M1184" t="n">
        <v>0</v>
      </c>
      <c r="N1184" t="n">
        <v>0</v>
      </c>
      <c r="O1184" t="n">
        <v>0</v>
      </c>
      <c r="P1184" t="n">
        <v>0</v>
      </c>
      <c r="Q1184" t="n">
        <v>0</v>
      </c>
      <c r="R1184" s="2" t="inlineStr"/>
    </row>
    <row r="1185" ht="15" customHeight="1">
      <c r="A1185" t="inlineStr">
        <is>
          <t>A 14825-2019</t>
        </is>
      </c>
      <c r="B1185" s="1" t="n">
        <v>43539</v>
      </c>
      <c r="C1185" s="1" t="n">
        <v>45210</v>
      </c>
      <c r="D1185" t="inlineStr">
        <is>
          <t>DALARNAS LÄN</t>
        </is>
      </c>
      <c r="E1185" t="inlineStr">
        <is>
          <t>GAGNEF</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15347-2019</t>
        </is>
      </c>
      <c r="B1186" s="1" t="n">
        <v>43541</v>
      </c>
      <c r="C1186" s="1" t="n">
        <v>45210</v>
      </c>
      <c r="D1186" t="inlineStr">
        <is>
          <t>DALARNAS LÄN</t>
        </is>
      </c>
      <c r="E1186" t="inlineStr">
        <is>
          <t>SÄTER</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15509-2019</t>
        </is>
      </c>
      <c r="B1187" s="1" t="n">
        <v>43542</v>
      </c>
      <c r="C1187" s="1" t="n">
        <v>45210</v>
      </c>
      <c r="D1187" t="inlineStr">
        <is>
          <t>DALARNAS LÄN</t>
        </is>
      </c>
      <c r="E1187" t="inlineStr">
        <is>
          <t>FALUN</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15661-2019</t>
        </is>
      </c>
      <c r="B1188" s="1" t="n">
        <v>43543</v>
      </c>
      <c r="C1188" s="1" t="n">
        <v>45210</v>
      </c>
      <c r="D1188" t="inlineStr">
        <is>
          <t>DALARNAS LÄN</t>
        </is>
      </c>
      <c r="E1188" t="inlineStr">
        <is>
          <t>MALUNG-SÄLEN</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15701-2019</t>
        </is>
      </c>
      <c r="B1189" s="1" t="n">
        <v>43543</v>
      </c>
      <c r="C1189" s="1" t="n">
        <v>45210</v>
      </c>
      <c r="D1189" t="inlineStr">
        <is>
          <t>DALARNAS LÄN</t>
        </is>
      </c>
      <c r="E1189" t="inlineStr">
        <is>
          <t>ORSA</t>
        </is>
      </c>
      <c r="G1189" t="n">
        <v>8.5</v>
      </c>
      <c r="H1189" t="n">
        <v>0</v>
      </c>
      <c r="I1189" t="n">
        <v>0</v>
      </c>
      <c r="J1189" t="n">
        <v>0</v>
      </c>
      <c r="K1189" t="n">
        <v>0</v>
      </c>
      <c r="L1189" t="n">
        <v>0</v>
      </c>
      <c r="M1189" t="n">
        <v>0</v>
      </c>
      <c r="N1189" t="n">
        <v>0</v>
      </c>
      <c r="O1189" t="n">
        <v>0</v>
      </c>
      <c r="P1189" t="n">
        <v>0</v>
      </c>
      <c r="Q1189" t="n">
        <v>0</v>
      </c>
      <c r="R1189" s="2" t="inlineStr"/>
    </row>
    <row r="1190" ht="15" customHeight="1">
      <c r="A1190" t="inlineStr">
        <is>
          <t>A 15766-2019</t>
        </is>
      </c>
      <c r="B1190" s="1" t="n">
        <v>43543</v>
      </c>
      <c r="C1190" s="1" t="n">
        <v>45210</v>
      </c>
      <c r="D1190" t="inlineStr">
        <is>
          <t>DALARNAS LÄN</t>
        </is>
      </c>
      <c r="E1190" t="inlineStr">
        <is>
          <t>FALUN</t>
        </is>
      </c>
      <c r="G1190" t="n">
        <v>4.9</v>
      </c>
      <c r="H1190" t="n">
        <v>0</v>
      </c>
      <c r="I1190" t="n">
        <v>0</v>
      </c>
      <c r="J1190" t="n">
        <v>0</v>
      </c>
      <c r="K1190" t="n">
        <v>0</v>
      </c>
      <c r="L1190" t="n">
        <v>0</v>
      </c>
      <c r="M1190" t="n">
        <v>0</v>
      </c>
      <c r="N1190" t="n">
        <v>0</v>
      </c>
      <c r="O1190" t="n">
        <v>0</v>
      </c>
      <c r="P1190" t="n">
        <v>0</v>
      </c>
      <c r="Q1190" t="n">
        <v>0</v>
      </c>
      <c r="R1190" s="2" t="inlineStr"/>
    </row>
    <row r="1191" ht="15" customHeight="1">
      <c r="A1191" t="inlineStr">
        <is>
          <t>A 15780-2019</t>
        </is>
      </c>
      <c r="B1191" s="1" t="n">
        <v>43543</v>
      </c>
      <c r="C1191" s="1" t="n">
        <v>45210</v>
      </c>
      <c r="D1191" t="inlineStr">
        <is>
          <t>DALARNAS LÄN</t>
        </is>
      </c>
      <c r="E1191" t="inlineStr">
        <is>
          <t>FALUN</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16089-2019</t>
        </is>
      </c>
      <c r="B1192" s="1" t="n">
        <v>43544</v>
      </c>
      <c r="C1192" s="1" t="n">
        <v>45210</v>
      </c>
      <c r="D1192" t="inlineStr">
        <is>
          <t>DALARNAS LÄN</t>
        </is>
      </c>
      <c r="E1192" t="inlineStr">
        <is>
          <t>BORLÄNGE</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16087-2019</t>
        </is>
      </c>
      <c r="B1193" s="1" t="n">
        <v>43544</v>
      </c>
      <c r="C1193" s="1" t="n">
        <v>45210</v>
      </c>
      <c r="D1193" t="inlineStr">
        <is>
          <t>DALARNAS LÄN</t>
        </is>
      </c>
      <c r="E1193" t="inlineStr">
        <is>
          <t>BORLÄNGE</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16081-2019</t>
        </is>
      </c>
      <c r="B1194" s="1" t="n">
        <v>43544</v>
      </c>
      <c r="C1194" s="1" t="n">
        <v>45210</v>
      </c>
      <c r="D1194" t="inlineStr">
        <is>
          <t>DALARNAS LÄN</t>
        </is>
      </c>
      <c r="E1194" t="inlineStr">
        <is>
          <t>BORLÄNGE</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16320-2019</t>
        </is>
      </c>
      <c r="B1195" s="1" t="n">
        <v>43545</v>
      </c>
      <c r="C1195" s="1" t="n">
        <v>45210</v>
      </c>
      <c r="D1195" t="inlineStr">
        <is>
          <t>DALARNAS LÄN</t>
        </is>
      </c>
      <c r="E1195" t="inlineStr">
        <is>
          <t>MORA</t>
        </is>
      </c>
      <c r="G1195" t="n">
        <v>4.5</v>
      </c>
      <c r="H1195" t="n">
        <v>0</v>
      </c>
      <c r="I1195" t="n">
        <v>0</v>
      </c>
      <c r="J1195" t="n">
        <v>0</v>
      </c>
      <c r="K1195" t="n">
        <v>0</v>
      </c>
      <c r="L1195" t="n">
        <v>0</v>
      </c>
      <c r="M1195" t="n">
        <v>0</v>
      </c>
      <c r="N1195" t="n">
        <v>0</v>
      </c>
      <c r="O1195" t="n">
        <v>0</v>
      </c>
      <c r="P1195" t="n">
        <v>0</v>
      </c>
      <c r="Q1195" t="n">
        <v>0</v>
      </c>
      <c r="R1195" s="2" t="inlineStr"/>
    </row>
    <row r="1196" ht="15" customHeight="1">
      <c r="A1196" t="inlineStr">
        <is>
          <t>A 16345-2019</t>
        </is>
      </c>
      <c r="B1196" s="1" t="n">
        <v>43545</v>
      </c>
      <c r="C1196" s="1" t="n">
        <v>45210</v>
      </c>
      <c r="D1196" t="inlineStr">
        <is>
          <t>DALARNAS LÄN</t>
        </is>
      </c>
      <c r="E1196" t="inlineStr">
        <is>
          <t>ÄLVDALEN</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16439-2019</t>
        </is>
      </c>
      <c r="B1197" s="1" t="n">
        <v>43546</v>
      </c>
      <c r="C1197" s="1" t="n">
        <v>45210</v>
      </c>
      <c r="D1197" t="inlineStr">
        <is>
          <t>DALARNAS LÄN</t>
        </is>
      </c>
      <c r="E1197" t="inlineStr">
        <is>
          <t>ÄLVDALEN</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16501-2019</t>
        </is>
      </c>
      <c r="B1198" s="1" t="n">
        <v>43546</v>
      </c>
      <c r="C1198" s="1" t="n">
        <v>45210</v>
      </c>
      <c r="D1198" t="inlineStr">
        <is>
          <t>DALARNAS LÄN</t>
        </is>
      </c>
      <c r="E1198" t="inlineStr">
        <is>
          <t>VANSBRO</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16398-2019</t>
        </is>
      </c>
      <c r="B1199" s="1" t="n">
        <v>43546</v>
      </c>
      <c r="C1199" s="1" t="n">
        <v>45210</v>
      </c>
      <c r="D1199" t="inlineStr">
        <is>
          <t>DALARNAS LÄN</t>
        </is>
      </c>
      <c r="E1199" t="inlineStr">
        <is>
          <t>MORA</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16430-2019</t>
        </is>
      </c>
      <c r="B1200" s="1" t="n">
        <v>43546</v>
      </c>
      <c r="C1200" s="1" t="n">
        <v>45210</v>
      </c>
      <c r="D1200" t="inlineStr">
        <is>
          <t>DALARNAS LÄN</t>
        </is>
      </c>
      <c r="E1200" t="inlineStr">
        <is>
          <t>GAGNEF</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16443-2019</t>
        </is>
      </c>
      <c r="B1201" s="1" t="n">
        <v>43546</v>
      </c>
      <c r="C1201" s="1" t="n">
        <v>45210</v>
      </c>
      <c r="D1201" t="inlineStr">
        <is>
          <t>DALARNAS LÄN</t>
        </is>
      </c>
      <c r="E1201" t="inlineStr">
        <is>
          <t>ÄLVDALEN</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16514-2019</t>
        </is>
      </c>
      <c r="B1202" s="1" t="n">
        <v>43546</v>
      </c>
      <c r="C1202" s="1" t="n">
        <v>45210</v>
      </c>
      <c r="D1202" t="inlineStr">
        <is>
          <t>DALARNAS LÄN</t>
        </is>
      </c>
      <c r="E1202" t="inlineStr">
        <is>
          <t>LUDVIKA</t>
        </is>
      </c>
      <c r="G1202" t="n">
        <v>4.6</v>
      </c>
      <c r="H1202" t="n">
        <v>0</v>
      </c>
      <c r="I1202" t="n">
        <v>0</v>
      </c>
      <c r="J1202" t="n">
        <v>0</v>
      </c>
      <c r="K1202" t="n">
        <v>0</v>
      </c>
      <c r="L1202" t="n">
        <v>0</v>
      </c>
      <c r="M1202" t="n">
        <v>0</v>
      </c>
      <c r="N1202" t="n">
        <v>0</v>
      </c>
      <c r="O1202" t="n">
        <v>0</v>
      </c>
      <c r="P1202" t="n">
        <v>0</v>
      </c>
      <c r="Q1202" t="n">
        <v>0</v>
      </c>
      <c r="R1202" s="2" t="inlineStr"/>
    </row>
    <row r="1203" ht="15" customHeight="1">
      <c r="A1203" t="inlineStr">
        <is>
          <t>A 16596-2019</t>
        </is>
      </c>
      <c r="B1203" s="1" t="n">
        <v>43546</v>
      </c>
      <c r="C1203" s="1" t="n">
        <v>45210</v>
      </c>
      <c r="D1203" t="inlineStr">
        <is>
          <t>DALARNAS LÄN</t>
        </is>
      </c>
      <c r="E1203" t="inlineStr">
        <is>
          <t>RÄTTVIK</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16806-2019</t>
        </is>
      </c>
      <c r="B1204" s="1" t="n">
        <v>43549</v>
      </c>
      <c r="C1204" s="1" t="n">
        <v>45210</v>
      </c>
      <c r="D1204" t="inlineStr">
        <is>
          <t>DALARNAS LÄN</t>
        </is>
      </c>
      <c r="E1204" t="inlineStr">
        <is>
          <t>MALUNG-SÄLEN</t>
        </is>
      </c>
      <c r="G1204" t="n">
        <v>6</v>
      </c>
      <c r="H1204" t="n">
        <v>0</v>
      </c>
      <c r="I1204" t="n">
        <v>0</v>
      </c>
      <c r="J1204" t="n">
        <v>0</v>
      </c>
      <c r="K1204" t="n">
        <v>0</v>
      </c>
      <c r="L1204" t="n">
        <v>0</v>
      </c>
      <c r="M1204" t="n">
        <v>0</v>
      </c>
      <c r="N1204" t="n">
        <v>0</v>
      </c>
      <c r="O1204" t="n">
        <v>0</v>
      </c>
      <c r="P1204" t="n">
        <v>0</v>
      </c>
      <c r="Q1204" t="n">
        <v>0</v>
      </c>
      <c r="R1204" s="2" t="inlineStr"/>
    </row>
    <row r="1205" ht="15" customHeight="1">
      <c r="A1205" t="inlineStr">
        <is>
          <t>A 16747-2019</t>
        </is>
      </c>
      <c r="B1205" s="1" t="n">
        <v>43549</v>
      </c>
      <c r="C1205" s="1" t="n">
        <v>45210</v>
      </c>
      <c r="D1205" t="inlineStr">
        <is>
          <t>DALARNAS LÄN</t>
        </is>
      </c>
      <c r="E1205" t="inlineStr">
        <is>
          <t>ÄLVDALEN</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16809-2019</t>
        </is>
      </c>
      <c r="B1206" s="1" t="n">
        <v>43549</v>
      </c>
      <c r="C1206" s="1" t="n">
        <v>45210</v>
      </c>
      <c r="D1206" t="inlineStr">
        <is>
          <t>DALARNAS LÄN</t>
        </is>
      </c>
      <c r="E1206" t="inlineStr">
        <is>
          <t>MALUNG-SÄLEN</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16811-2019</t>
        </is>
      </c>
      <c r="B1207" s="1" t="n">
        <v>43549</v>
      </c>
      <c r="C1207" s="1" t="n">
        <v>45210</v>
      </c>
      <c r="D1207" t="inlineStr">
        <is>
          <t>DALARNAS LÄN</t>
        </is>
      </c>
      <c r="E1207" t="inlineStr">
        <is>
          <t>MALUNG-SÄLEN</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16961-2019</t>
        </is>
      </c>
      <c r="B1208" s="1" t="n">
        <v>43550</v>
      </c>
      <c r="C1208" s="1" t="n">
        <v>45210</v>
      </c>
      <c r="D1208" t="inlineStr">
        <is>
          <t>DALARNAS LÄN</t>
        </is>
      </c>
      <c r="E1208" t="inlineStr">
        <is>
          <t>ORSA</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16938-2019</t>
        </is>
      </c>
      <c r="B1209" s="1" t="n">
        <v>43550</v>
      </c>
      <c r="C1209" s="1" t="n">
        <v>45210</v>
      </c>
      <c r="D1209" t="inlineStr">
        <is>
          <t>DALARNAS LÄN</t>
        </is>
      </c>
      <c r="E1209" t="inlineStr">
        <is>
          <t>ORSA</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16956-2019</t>
        </is>
      </c>
      <c r="B1210" s="1" t="n">
        <v>43550</v>
      </c>
      <c r="C1210" s="1" t="n">
        <v>45210</v>
      </c>
      <c r="D1210" t="inlineStr">
        <is>
          <t>DALARNAS LÄN</t>
        </is>
      </c>
      <c r="E1210" t="inlineStr">
        <is>
          <t>ORSA</t>
        </is>
      </c>
      <c r="G1210" t="n">
        <v>19.3</v>
      </c>
      <c r="H1210" t="n">
        <v>0</v>
      </c>
      <c r="I1210" t="n">
        <v>0</v>
      </c>
      <c r="J1210" t="n">
        <v>0</v>
      </c>
      <c r="K1210" t="n">
        <v>0</v>
      </c>
      <c r="L1210" t="n">
        <v>0</v>
      </c>
      <c r="M1210" t="n">
        <v>0</v>
      </c>
      <c r="N1210" t="n">
        <v>0</v>
      </c>
      <c r="O1210" t="n">
        <v>0</v>
      </c>
      <c r="P1210" t="n">
        <v>0</v>
      </c>
      <c r="Q1210" t="n">
        <v>0</v>
      </c>
      <c r="R1210" s="2" t="inlineStr"/>
    </row>
    <row r="1211" ht="15" customHeight="1">
      <c r="A1211" t="inlineStr">
        <is>
          <t>A 16962-2019</t>
        </is>
      </c>
      <c r="B1211" s="1" t="n">
        <v>43550</v>
      </c>
      <c r="C1211" s="1" t="n">
        <v>45210</v>
      </c>
      <c r="D1211" t="inlineStr">
        <is>
          <t>DALARNAS LÄN</t>
        </is>
      </c>
      <c r="E1211" t="inlineStr">
        <is>
          <t>AVESTA</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16954-2019</t>
        </is>
      </c>
      <c r="B1212" s="1" t="n">
        <v>43550</v>
      </c>
      <c r="C1212" s="1" t="n">
        <v>45210</v>
      </c>
      <c r="D1212" t="inlineStr">
        <is>
          <t>DALARNAS LÄN</t>
        </is>
      </c>
      <c r="E1212" t="inlineStr">
        <is>
          <t>BORLÄNGE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16958-2019</t>
        </is>
      </c>
      <c r="B1213" s="1" t="n">
        <v>43550</v>
      </c>
      <c r="C1213" s="1" t="n">
        <v>45210</v>
      </c>
      <c r="D1213" t="inlineStr">
        <is>
          <t>DALARNAS LÄN</t>
        </is>
      </c>
      <c r="E1213" t="inlineStr">
        <is>
          <t>ORSA</t>
        </is>
      </c>
      <c r="G1213" t="n">
        <v>17.7</v>
      </c>
      <c r="H1213" t="n">
        <v>0</v>
      </c>
      <c r="I1213" t="n">
        <v>0</v>
      </c>
      <c r="J1213" t="n">
        <v>0</v>
      </c>
      <c r="K1213" t="n">
        <v>0</v>
      </c>
      <c r="L1213" t="n">
        <v>0</v>
      </c>
      <c r="M1213" t="n">
        <v>0</v>
      </c>
      <c r="N1213" t="n">
        <v>0</v>
      </c>
      <c r="O1213" t="n">
        <v>0</v>
      </c>
      <c r="P1213" t="n">
        <v>0</v>
      </c>
      <c r="Q1213" t="n">
        <v>0</v>
      </c>
      <c r="R1213" s="2" t="inlineStr"/>
    </row>
    <row r="1214" ht="15" customHeight="1">
      <c r="A1214" t="inlineStr">
        <is>
          <t>A 17015-2019</t>
        </is>
      </c>
      <c r="B1214" s="1" t="n">
        <v>43550</v>
      </c>
      <c r="C1214" s="1" t="n">
        <v>45210</v>
      </c>
      <c r="D1214" t="inlineStr">
        <is>
          <t>DALARNAS LÄN</t>
        </is>
      </c>
      <c r="E1214" t="inlineStr">
        <is>
          <t>ÄLVDALEN</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16914-2019</t>
        </is>
      </c>
      <c r="B1215" s="1" t="n">
        <v>43550</v>
      </c>
      <c r="C1215" s="1" t="n">
        <v>45210</v>
      </c>
      <c r="D1215" t="inlineStr">
        <is>
          <t>DALARNAS LÄN</t>
        </is>
      </c>
      <c r="E1215" t="inlineStr">
        <is>
          <t>ORSA</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17081-2019</t>
        </is>
      </c>
      <c r="B1216" s="1" t="n">
        <v>43551</v>
      </c>
      <c r="C1216" s="1" t="n">
        <v>45210</v>
      </c>
      <c r="D1216" t="inlineStr">
        <is>
          <t>DALARNAS LÄN</t>
        </is>
      </c>
      <c r="E1216" t="inlineStr">
        <is>
          <t>FALUN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17036-2019</t>
        </is>
      </c>
      <c r="B1217" s="1" t="n">
        <v>43551</v>
      </c>
      <c r="C1217" s="1" t="n">
        <v>45210</v>
      </c>
      <c r="D1217" t="inlineStr">
        <is>
          <t>DALARNAS LÄN</t>
        </is>
      </c>
      <c r="E1217" t="inlineStr">
        <is>
          <t>SÄTER</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17077-2019</t>
        </is>
      </c>
      <c r="B1218" s="1" t="n">
        <v>43551</v>
      </c>
      <c r="C1218" s="1" t="n">
        <v>45210</v>
      </c>
      <c r="D1218" t="inlineStr">
        <is>
          <t>DALARNAS LÄN</t>
        </is>
      </c>
      <c r="E1218" t="inlineStr">
        <is>
          <t>LUDVIKA</t>
        </is>
      </c>
      <c r="F1218" t="inlineStr">
        <is>
          <t>Bergvik skog väst AB</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17105-2019</t>
        </is>
      </c>
      <c r="B1219" s="1" t="n">
        <v>43551</v>
      </c>
      <c r="C1219" s="1" t="n">
        <v>45210</v>
      </c>
      <c r="D1219" t="inlineStr">
        <is>
          <t>DALARNAS LÄN</t>
        </is>
      </c>
      <c r="E1219" t="inlineStr">
        <is>
          <t>LUDVIKA</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17283-2019</t>
        </is>
      </c>
      <c r="B1220" s="1" t="n">
        <v>43552</v>
      </c>
      <c r="C1220" s="1" t="n">
        <v>45210</v>
      </c>
      <c r="D1220" t="inlineStr">
        <is>
          <t>DALARNAS LÄN</t>
        </is>
      </c>
      <c r="E1220" t="inlineStr">
        <is>
          <t>SMEDJEBACKEN</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17365-2019</t>
        </is>
      </c>
      <c r="B1221" s="1" t="n">
        <v>43552</v>
      </c>
      <c r="C1221" s="1" t="n">
        <v>45210</v>
      </c>
      <c r="D1221" t="inlineStr">
        <is>
          <t>DALARNAS LÄN</t>
        </is>
      </c>
      <c r="E1221" t="inlineStr">
        <is>
          <t>FALUN</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17253-2019</t>
        </is>
      </c>
      <c r="B1222" s="1" t="n">
        <v>43552</v>
      </c>
      <c r="C1222" s="1" t="n">
        <v>45210</v>
      </c>
      <c r="D1222" t="inlineStr">
        <is>
          <t>DALARNAS LÄN</t>
        </is>
      </c>
      <c r="E1222" t="inlineStr">
        <is>
          <t>GAGNEF</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17228-2019</t>
        </is>
      </c>
      <c r="B1223" s="1" t="n">
        <v>43552</v>
      </c>
      <c r="C1223" s="1" t="n">
        <v>45210</v>
      </c>
      <c r="D1223" t="inlineStr">
        <is>
          <t>DALARNAS LÄN</t>
        </is>
      </c>
      <c r="E1223" t="inlineStr">
        <is>
          <t>ÄLVDALEN</t>
        </is>
      </c>
      <c r="F1223" t="inlineStr">
        <is>
          <t>Övriga statliga verk och myndigheter</t>
        </is>
      </c>
      <c r="G1223" t="n">
        <v>36.8</v>
      </c>
      <c r="H1223" t="n">
        <v>0</v>
      </c>
      <c r="I1223" t="n">
        <v>0</v>
      </c>
      <c r="J1223" t="n">
        <v>0</v>
      </c>
      <c r="K1223" t="n">
        <v>0</v>
      </c>
      <c r="L1223" t="n">
        <v>0</v>
      </c>
      <c r="M1223" t="n">
        <v>0</v>
      </c>
      <c r="N1223" t="n">
        <v>0</v>
      </c>
      <c r="O1223" t="n">
        <v>0</v>
      </c>
      <c r="P1223" t="n">
        <v>0</v>
      </c>
      <c r="Q1223" t="n">
        <v>0</v>
      </c>
      <c r="R1223" s="2" t="inlineStr"/>
    </row>
    <row r="1224" ht="15" customHeight="1">
      <c r="A1224" t="inlineStr">
        <is>
          <t>A 17429-2019</t>
        </is>
      </c>
      <c r="B1224" s="1" t="n">
        <v>43553</v>
      </c>
      <c r="C1224" s="1" t="n">
        <v>45210</v>
      </c>
      <c r="D1224" t="inlineStr">
        <is>
          <t>DALARNAS LÄN</t>
        </is>
      </c>
      <c r="E1224" t="inlineStr">
        <is>
          <t>RÄTTVIK</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17457-2019</t>
        </is>
      </c>
      <c r="B1225" s="1" t="n">
        <v>43553</v>
      </c>
      <c r="C1225" s="1" t="n">
        <v>45210</v>
      </c>
      <c r="D1225" t="inlineStr">
        <is>
          <t>DALARNAS LÄN</t>
        </is>
      </c>
      <c r="E1225" t="inlineStr">
        <is>
          <t>MALUNG-SÄLEN</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17561-2019</t>
        </is>
      </c>
      <c r="B1226" s="1" t="n">
        <v>43553</v>
      </c>
      <c r="C1226" s="1" t="n">
        <v>45210</v>
      </c>
      <c r="D1226" t="inlineStr">
        <is>
          <t>DALARNAS LÄN</t>
        </is>
      </c>
      <c r="E1226" t="inlineStr">
        <is>
          <t>RÄTTVIK</t>
        </is>
      </c>
      <c r="F1226" t="inlineStr">
        <is>
          <t>Bergvik skog väst AB</t>
        </is>
      </c>
      <c r="G1226" t="n">
        <v>23.5</v>
      </c>
      <c r="H1226" t="n">
        <v>0</v>
      </c>
      <c r="I1226" t="n">
        <v>0</v>
      </c>
      <c r="J1226" t="n">
        <v>0</v>
      </c>
      <c r="K1226" t="n">
        <v>0</v>
      </c>
      <c r="L1226" t="n">
        <v>0</v>
      </c>
      <c r="M1226" t="n">
        <v>0</v>
      </c>
      <c r="N1226" t="n">
        <v>0</v>
      </c>
      <c r="O1226" t="n">
        <v>0</v>
      </c>
      <c r="P1226" t="n">
        <v>0</v>
      </c>
      <c r="Q1226" t="n">
        <v>0</v>
      </c>
      <c r="R1226" s="2" t="inlineStr"/>
    </row>
    <row r="1227" ht="15" customHeight="1">
      <c r="A1227" t="inlineStr">
        <is>
          <t>A 17939-2019</t>
        </is>
      </c>
      <c r="B1227" s="1" t="n">
        <v>43553</v>
      </c>
      <c r="C1227" s="1" t="n">
        <v>45210</v>
      </c>
      <c r="D1227" t="inlineStr">
        <is>
          <t>DALARNAS LÄN</t>
        </is>
      </c>
      <c r="E1227" t="inlineStr">
        <is>
          <t>LEKSAND</t>
        </is>
      </c>
      <c r="G1227" t="n">
        <v>3.9</v>
      </c>
      <c r="H1227" t="n">
        <v>0</v>
      </c>
      <c r="I1227" t="n">
        <v>0</v>
      </c>
      <c r="J1227" t="n">
        <v>0</v>
      </c>
      <c r="K1227" t="n">
        <v>0</v>
      </c>
      <c r="L1227" t="n">
        <v>0</v>
      </c>
      <c r="M1227" t="n">
        <v>0</v>
      </c>
      <c r="N1227" t="n">
        <v>0</v>
      </c>
      <c r="O1227" t="n">
        <v>0</v>
      </c>
      <c r="P1227" t="n">
        <v>0</v>
      </c>
      <c r="Q1227" t="n">
        <v>0</v>
      </c>
      <c r="R1227" s="2" t="inlineStr"/>
    </row>
    <row r="1228" ht="15" customHeight="1">
      <c r="A1228" t="inlineStr">
        <is>
          <t>A 17921-2019</t>
        </is>
      </c>
      <c r="B1228" s="1" t="n">
        <v>43554</v>
      </c>
      <c r="C1228" s="1" t="n">
        <v>45210</v>
      </c>
      <c r="D1228" t="inlineStr">
        <is>
          <t>DALARNAS LÄN</t>
        </is>
      </c>
      <c r="E1228" t="inlineStr">
        <is>
          <t>RÄTTVIK</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17996-2019</t>
        </is>
      </c>
      <c r="B1229" s="1" t="n">
        <v>43556</v>
      </c>
      <c r="C1229" s="1" t="n">
        <v>45210</v>
      </c>
      <c r="D1229" t="inlineStr">
        <is>
          <t>DALARNAS LÄN</t>
        </is>
      </c>
      <c r="E1229" t="inlineStr">
        <is>
          <t>BORLÄNGE</t>
        </is>
      </c>
      <c r="F1229" t="inlineStr">
        <is>
          <t>Kommuner</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17741-2019</t>
        </is>
      </c>
      <c r="B1230" s="1" t="n">
        <v>43556</v>
      </c>
      <c r="C1230" s="1" t="n">
        <v>45210</v>
      </c>
      <c r="D1230" t="inlineStr">
        <is>
          <t>DALARNAS LÄN</t>
        </is>
      </c>
      <c r="E1230" t="inlineStr">
        <is>
          <t>ÄLVDALEN</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17822-2019</t>
        </is>
      </c>
      <c r="B1231" s="1" t="n">
        <v>43556</v>
      </c>
      <c r="C1231" s="1" t="n">
        <v>45210</v>
      </c>
      <c r="D1231" t="inlineStr">
        <is>
          <t>DALARNAS LÄN</t>
        </is>
      </c>
      <c r="E1231" t="inlineStr">
        <is>
          <t>LEKSAND</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17751-2019</t>
        </is>
      </c>
      <c r="B1232" s="1" t="n">
        <v>43556</v>
      </c>
      <c r="C1232" s="1" t="n">
        <v>45210</v>
      </c>
      <c r="D1232" t="inlineStr">
        <is>
          <t>DALARNAS LÄN</t>
        </is>
      </c>
      <c r="E1232" t="inlineStr">
        <is>
          <t>ÄLVDALEN</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18098-2019</t>
        </is>
      </c>
      <c r="B1233" s="1" t="n">
        <v>43556</v>
      </c>
      <c r="C1233" s="1" t="n">
        <v>45210</v>
      </c>
      <c r="D1233" t="inlineStr">
        <is>
          <t>DALARNAS LÄN</t>
        </is>
      </c>
      <c r="E1233" t="inlineStr">
        <is>
          <t>RÄTTVIK</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17947-2019</t>
        </is>
      </c>
      <c r="B1234" s="1" t="n">
        <v>43557</v>
      </c>
      <c r="C1234" s="1" t="n">
        <v>45210</v>
      </c>
      <c r="D1234" t="inlineStr">
        <is>
          <t>DALARNAS LÄN</t>
        </is>
      </c>
      <c r="E1234" t="inlineStr">
        <is>
          <t>LUDVIKA</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17970-2019</t>
        </is>
      </c>
      <c r="B1235" s="1" t="n">
        <v>43557</v>
      </c>
      <c r="C1235" s="1" t="n">
        <v>45210</v>
      </c>
      <c r="D1235" t="inlineStr">
        <is>
          <t>DALARNAS LÄN</t>
        </is>
      </c>
      <c r="E1235" t="inlineStr">
        <is>
          <t>LEKSAND</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17967-2019</t>
        </is>
      </c>
      <c r="B1236" s="1" t="n">
        <v>43557</v>
      </c>
      <c r="C1236" s="1" t="n">
        <v>45210</v>
      </c>
      <c r="D1236" t="inlineStr">
        <is>
          <t>DALARNAS LÄN</t>
        </is>
      </c>
      <c r="E1236" t="inlineStr">
        <is>
          <t>LEKSAND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18238-2019</t>
        </is>
      </c>
      <c r="B1237" s="1" t="n">
        <v>43558</v>
      </c>
      <c r="C1237" s="1" t="n">
        <v>45210</v>
      </c>
      <c r="D1237" t="inlineStr">
        <is>
          <t>DALARNAS LÄN</t>
        </is>
      </c>
      <c r="E1237" t="inlineStr">
        <is>
          <t>LEKSAND</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18250-2019</t>
        </is>
      </c>
      <c r="B1238" s="1" t="n">
        <v>43558</v>
      </c>
      <c r="C1238" s="1" t="n">
        <v>45210</v>
      </c>
      <c r="D1238" t="inlineStr">
        <is>
          <t>DALARNAS LÄN</t>
        </is>
      </c>
      <c r="E1238" t="inlineStr">
        <is>
          <t>FALUN</t>
        </is>
      </c>
      <c r="F1238" t="inlineStr">
        <is>
          <t>Bergvik skog väst AB</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18129-2019</t>
        </is>
      </c>
      <c r="B1239" s="1" t="n">
        <v>43558</v>
      </c>
      <c r="C1239" s="1" t="n">
        <v>45210</v>
      </c>
      <c r="D1239" t="inlineStr">
        <is>
          <t>DALARNAS LÄN</t>
        </is>
      </c>
      <c r="E1239" t="inlineStr">
        <is>
          <t>VANSBRO</t>
        </is>
      </c>
      <c r="G1239" t="n">
        <v>1.8</v>
      </c>
      <c r="H1239" t="n">
        <v>0</v>
      </c>
      <c r="I1239" t="n">
        <v>0</v>
      </c>
      <c r="J1239" t="n">
        <v>0</v>
      </c>
      <c r="K1239" t="n">
        <v>0</v>
      </c>
      <c r="L1239" t="n">
        <v>0</v>
      </c>
      <c r="M1239" t="n">
        <v>0</v>
      </c>
      <c r="N1239" t="n">
        <v>0</v>
      </c>
      <c r="O1239" t="n">
        <v>0</v>
      </c>
      <c r="P1239" t="n">
        <v>0</v>
      </c>
      <c r="Q1239" t="n">
        <v>0</v>
      </c>
      <c r="R1239" s="2" t="inlineStr"/>
    </row>
    <row r="1240" ht="15" customHeight="1">
      <c r="A1240" t="inlineStr">
        <is>
          <t>A 18152-2019</t>
        </is>
      </c>
      <c r="B1240" s="1" t="n">
        <v>43558</v>
      </c>
      <c r="C1240" s="1" t="n">
        <v>45210</v>
      </c>
      <c r="D1240" t="inlineStr">
        <is>
          <t>DALARNAS LÄN</t>
        </is>
      </c>
      <c r="E1240" t="inlineStr">
        <is>
          <t>AVESTA</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18114-2019</t>
        </is>
      </c>
      <c r="B1241" s="1" t="n">
        <v>43558</v>
      </c>
      <c r="C1241" s="1" t="n">
        <v>45210</v>
      </c>
      <c r="D1241" t="inlineStr">
        <is>
          <t>DALARNAS LÄN</t>
        </is>
      </c>
      <c r="E1241" t="inlineStr">
        <is>
          <t>FALUN</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18127-2019</t>
        </is>
      </c>
      <c r="B1242" s="1" t="n">
        <v>43558</v>
      </c>
      <c r="C1242" s="1" t="n">
        <v>45210</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18199-2019</t>
        </is>
      </c>
      <c r="B1243" s="1" t="n">
        <v>43558</v>
      </c>
      <c r="C1243" s="1" t="n">
        <v>45210</v>
      </c>
      <c r="D1243" t="inlineStr">
        <is>
          <t>DALARNAS LÄN</t>
        </is>
      </c>
      <c r="E1243" t="inlineStr">
        <is>
          <t>FALUN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18265-2019</t>
        </is>
      </c>
      <c r="B1244" s="1" t="n">
        <v>43558</v>
      </c>
      <c r="C1244" s="1" t="n">
        <v>45210</v>
      </c>
      <c r="D1244" t="inlineStr">
        <is>
          <t>DALARNAS LÄN</t>
        </is>
      </c>
      <c r="E1244" t="inlineStr">
        <is>
          <t>MALUNG-SÄLEN</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18339-2019</t>
        </is>
      </c>
      <c r="B1245" s="1" t="n">
        <v>43559</v>
      </c>
      <c r="C1245" s="1" t="n">
        <v>45210</v>
      </c>
      <c r="D1245" t="inlineStr">
        <is>
          <t>DALARNAS LÄN</t>
        </is>
      </c>
      <c r="E1245" t="inlineStr">
        <is>
          <t>GAGNEF</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18512-2019</t>
        </is>
      </c>
      <c r="B1246" s="1" t="n">
        <v>43559</v>
      </c>
      <c r="C1246" s="1" t="n">
        <v>45210</v>
      </c>
      <c r="D1246" t="inlineStr">
        <is>
          <t>DALARNAS LÄN</t>
        </is>
      </c>
      <c r="E1246" t="inlineStr">
        <is>
          <t>VANSBRO</t>
        </is>
      </c>
      <c r="F1246" t="inlineStr">
        <is>
          <t>Bergvik skog väst AB</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18534-2019</t>
        </is>
      </c>
      <c r="B1247" s="1" t="n">
        <v>43559</v>
      </c>
      <c r="C1247" s="1" t="n">
        <v>45210</v>
      </c>
      <c r="D1247" t="inlineStr">
        <is>
          <t>DALARNAS LÄN</t>
        </is>
      </c>
      <c r="E1247" t="inlineStr">
        <is>
          <t>RÄTTVIK</t>
        </is>
      </c>
      <c r="F1247" t="inlineStr">
        <is>
          <t>Bergvik skog väst AB</t>
        </is>
      </c>
      <c r="G1247" t="n">
        <v>43.7</v>
      </c>
      <c r="H1247" t="n">
        <v>0</v>
      </c>
      <c r="I1247" t="n">
        <v>0</v>
      </c>
      <c r="J1247" t="n">
        <v>0</v>
      </c>
      <c r="K1247" t="n">
        <v>0</v>
      </c>
      <c r="L1247" t="n">
        <v>0</v>
      </c>
      <c r="M1247" t="n">
        <v>0</v>
      </c>
      <c r="N1247" t="n">
        <v>0</v>
      </c>
      <c r="O1247" t="n">
        <v>0</v>
      </c>
      <c r="P1247" t="n">
        <v>0</v>
      </c>
      <c r="Q1247" t="n">
        <v>0</v>
      </c>
      <c r="R1247" s="2" t="inlineStr"/>
    </row>
    <row r="1248" ht="15" customHeight="1">
      <c r="A1248" t="inlineStr">
        <is>
          <t>A 18514-2019</t>
        </is>
      </c>
      <c r="B1248" s="1" t="n">
        <v>43559</v>
      </c>
      <c r="C1248" s="1" t="n">
        <v>45210</v>
      </c>
      <c r="D1248" t="inlineStr">
        <is>
          <t>DALARNAS LÄN</t>
        </is>
      </c>
      <c r="E1248" t="inlineStr">
        <is>
          <t>VANSBRO</t>
        </is>
      </c>
      <c r="F1248" t="inlineStr">
        <is>
          <t>Bergvik skog väst AB</t>
        </is>
      </c>
      <c r="G1248" t="n">
        <v>17.2</v>
      </c>
      <c r="H1248" t="n">
        <v>0</v>
      </c>
      <c r="I1248" t="n">
        <v>0</v>
      </c>
      <c r="J1248" t="n">
        <v>0</v>
      </c>
      <c r="K1248" t="n">
        <v>0</v>
      </c>
      <c r="L1248" t="n">
        <v>0</v>
      </c>
      <c r="M1248" t="n">
        <v>0</v>
      </c>
      <c r="N1248" t="n">
        <v>0</v>
      </c>
      <c r="O1248" t="n">
        <v>0</v>
      </c>
      <c r="P1248" t="n">
        <v>0</v>
      </c>
      <c r="Q1248" t="n">
        <v>0</v>
      </c>
      <c r="R1248" s="2" t="inlineStr"/>
    </row>
    <row r="1249" ht="15" customHeight="1">
      <c r="A1249" t="inlineStr">
        <is>
          <t>A 18701-2019</t>
        </is>
      </c>
      <c r="B1249" s="1" t="n">
        <v>43560</v>
      </c>
      <c r="C1249" s="1" t="n">
        <v>45210</v>
      </c>
      <c r="D1249" t="inlineStr">
        <is>
          <t>DALARNAS LÄN</t>
        </is>
      </c>
      <c r="E1249" t="inlineStr">
        <is>
          <t>SMEDJEBACKEN</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18766-2019</t>
        </is>
      </c>
      <c r="B1250" s="1" t="n">
        <v>43560</v>
      </c>
      <c r="C1250" s="1" t="n">
        <v>45210</v>
      </c>
      <c r="D1250" t="inlineStr">
        <is>
          <t>DALARNAS LÄN</t>
        </is>
      </c>
      <c r="E1250" t="inlineStr">
        <is>
          <t>FALUN</t>
        </is>
      </c>
      <c r="G1250" t="n">
        <v>3.1</v>
      </c>
      <c r="H1250" t="n">
        <v>0</v>
      </c>
      <c r="I1250" t="n">
        <v>0</v>
      </c>
      <c r="J1250" t="n">
        <v>0</v>
      </c>
      <c r="K1250" t="n">
        <v>0</v>
      </c>
      <c r="L1250" t="n">
        <v>0</v>
      </c>
      <c r="M1250" t="n">
        <v>0</v>
      </c>
      <c r="N1250" t="n">
        <v>0</v>
      </c>
      <c r="O1250" t="n">
        <v>0</v>
      </c>
      <c r="P1250" t="n">
        <v>0</v>
      </c>
      <c r="Q1250" t="n">
        <v>0</v>
      </c>
      <c r="R1250" s="2" t="inlineStr"/>
    </row>
    <row r="1251" ht="15" customHeight="1">
      <c r="A1251" t="inlineStr">
        <is>
          <t>A 18586-2019</t>
        </is>
      </c>
      <c r="B1251" s="1" t="n">
        <v>43560</v>
      </c>
      <c r="C1251" s="1" t="n">
        <v>45210</v>
      </c>
      <c r="D1251" t="inlineStr">
        <is>
          <t>DALARNAS LÄN</t>
        </is>
      </c>
      <c r="E1251" t="inlineStr">
        <is>
          <t>AVESTA</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19016-2019</t>
        </is>
      </c>
      <c r="B1252" s="1" t="n">
        <v>43563</v>
      </c>
      <c r="C1252" s="1" t="n">
        <v>45210</v>
      </c>
      <c r="D1252" t="inlineStr">
        <is>
          <t>DALARNAS LÄN</t>
        </is>
      </c>
      <c r="E1252" t="inlineStr">
        <is>
          <t>HEDEMORA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18844-2019</t>
        </is>
      </c>
      <c r="B1253" s="1" t="n">
        <v>43563</v>
      </c>
      <c r="C1253" s="1" t="n">
        <v>45210</v>
      </c>
      <c r="D1253" t="inlineStr">
        <is>
          <t>DALARNAS LÄN</t>
        </is>
      </c>
      <c r="E1253" t="inlineStr">
        <is>
          <t>MALUNG-SÄLEN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19150-2019</t>
        </is>
      </c>
      <c r="B1254" s="1" t="n">
        <v>43564</v>
      </c>
      <c r="C1254" s="1" t="n">
        <v>45210</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19154-2019</t>
        </is>
      </c>
      <c r="B1255" s="1" t="n">
        <v>43564</v>
      </c>
      <c r="C1255" s="1" t="n">
        <v>45210</v>
      </c>
      <c r="D1255" t="inlineStr">
        <is>
          <t>DALARNAS LÄN</t>
        </is>
      </c>
      <c r="E1255" t="inlineStr">
        <is>
          <t>GAGNEF</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19527-2019</t>
        </is>
      </c>
      <c r="B1256" s="1" t="n">
        <v>43565</v>
      </c>
      <c r="C1256" s="1" t="n">
        <v>45210</v>
      </c>
      <c r="D1256" t="inlineStr">
        <is>
          <t>DALARNAS LÄN</t>
        </is>
      </c>
      <c r="E1256" t="inlineStr">
        <is>
          <t>SMEDJEBACKEN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19281-2019</t>
        </is>
      </c>
      <c r="B1257" s="1" t="n">
        <v>43565</v>
      </c>
      <c r="C1257" s="1" t="n">
        <v>45210</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19282-2019</t>
        </is>
      </c>
      <c r="B1258" s="1" t="n">
        <v>43565</v>
      </c>
      <c r="C1258" s="1" t="n">
        <v>45210</v>
      </c>
      <c r="D1258" t="inlineStr">
        <is>
          <t>DALARNAS LÄN</t>
        </is>
      </c>
      <c r="E1258" t="inlineStr">
        <is>
          <t>MALUNG-SÄLEN</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19571-2019</t>
        </is>
      </c>
      <c r="B1259" s="1" t="n">
        <v>43566</v>
      </c>
      <c r="C1259" s="1" t="n">
        <v>45210</v>
      </c>
      <c r="D1259" t="inlineStr">
        <is>
          <t>DALARNAS LÄN</t>
        </is>
      </c>
      <c r="E1259" t="inlineStr">
        <is>
          <t>LUDVIKA</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19790-2019</t>
        </is>
      </c>
      <c r="B1260" s="1" t="n">
        <v>43566</v>
      </c>
      <c r="C1260" s="1" t="n">
        <v>45210</v>
      </c>
      <c r="D1260" t="inlineStr">
        <is>
          <t>DALARNAS LÄN</t>
        </is>
      </c>
      <c r="E1260" t="inlineStr">
        <is>
          <t>LEKSAND</t>
        </is>
      </c>
      <c r="G1260" t="n">
        <v>11.4</v>
      </c>
      <c r="H1260" t="n">
        <v>0</v>
      </c>
      <c r="I1260" t="n">
        <v>0</v>
      </c>
      <c r="J1260" t="n">
        <v>0</v>
      </c>
      <c r="K1260" t="n">
        <v>0</v>
      </c>
      <c r="L1260" t="n">
        <v>0</v>
      </c>
      <c r="M1260" t="n">
        <v>0</v>
      </c>
      <c r="N1260" t="n">
        <v>0</v>
      </c>
      <c r="O1260" t="n">
        <v>0</v>
      </c>
      <c r="P1260" t="n">
        <v>0</v>
      </c>
      <c r="Q1260" t="n">
        <v>0</v>
      </c>
      <c r="R1260" s="2" t="inlineStr"/>
    </row>
    <row r="1261" ht="15" customHeight="1">
      <c r="A1261" t="inlineStr">
        <is>
          <t>A 19703-2019</t>
        </is>
      </c>
      <c r="B1261" s="1" t="n">
        <v>43566</v>
      </c>
      <c r="C1261" s="1" t="n">
        <v>45210</v>
      </c>
      <c r="D1261" t="inlineStr">
        <is>
          <t>DALARNAS LÄN</t>
        </is>
      </c>
      <c r="E1261" t="inlineStr">
        <is>
          <t>LEKSAND</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19754-2019</t>
        </is>
      </c>
      <c r="B1262" s="1" t="n">
        <v>43566</v>
      </c>
      <c r="C1262" s="1" t="n">
        <v>45210</v>
      </c>
      <c r="D1262" t="inlineStr">
        <is>
          <t>DALARNAS LÄN</t>
        </is>
      </c>
      <c r="E1262" t="inlineStr">
        <is>
          <t>RÄTTVIK</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19853-2019</t>
        </is>
      </c>
      <c r="B1263" s="1" t="n">
        <v>43567</v>
      </c>
      <c r="C1263" s="1" t="n">
        <v>45210</v>
      </c>
      <c r="D1263" t="inlineStr">
        <is>
          <t>DALARNAS LÄN</t>
        </is>
      </c>
      <c r="E1263" t="inlineStr">
        <is>
          <t>SÄTER</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20044-2019</t>
        </is>
      </c>
      <c r="B1264" s="1" t="n">
        <v>43570</v>
      </c>
      <c r="C1264" s="1" t="n">
        <v>45210</v>
      </c>
      <c r="D1264" t="inlineStr">
        <is>
          <t>DALARNAS LÄN</t>
        </is>
      </c>
      <c r="E1264" t="inlineStr">
        <is>
          <t>RÄTTVIK</t>
        </is>
      </c>
      <c r="F1264" t="inlineStr">
        <is>
          <t>Bergvik skog väst AB</t>
        </is>
      </c>
      <c r="G1264" t="n">
        <v>8.1</v>
      </c>
      <c r="H1264" t="n">
        <v>0</v>
      </c>
      <c r="I1264" t="n">
        <v>0</v>
      </c>
      <c r="J1264" t="n">
        <v>0</v>
      </c>
      <c r="K1264" t="n">
        <v>0</v>
      </c>
      <c r="L1264" t="n">
        <v>0</v>
      </c>
      <c r="M1264" t="n">
        <v>0</v>
      </c>
      <c r="N1264" t="n">
        <v>0</v>
      </c>
      <c r="O1264" t="n">
        <v>0</v>
      </c>
      <c r="P1264" t="n">
        <v>0</v>
      </c>
      <c r="Q1264" t="n">
        <v>0</v>
      </c>
      <c r="R1264" s="2" t="inlineStr"/>
    </row>
    <row r="1265" ht="15" customHeight="1">
      <c r="A1265" t="inlineStr">
        <is>
          <t>A 19997-2019</t>
        </is>
      </c>
      <c r="B1265" s="1" t="n">
        <v>43570</v>
      </c>
      <c r="C1265" s="1" t="n">
        <v>45210</v>
      </c>
      <c r="D1265" t="inlineStr">
        <is>
          <t>DALARNAS LÄN</t>
        </is>
      </c>
      <c r="E1265" t="inlineStr">
        <is>
          <t>VANSBRO</t>
        </is>
      </c>
      <c r="G1265" t="n">
        <v>9.5</v>
      </c>
      <c r="H1265" t="n">
        <v>0</v>
      </c>
      <c r="I1265" t="n">
        <v>0</v>
      </c>
      <c r="J1265" t="n">
        <v>0</v>
      </c>
      <c r="K1265" t="n">
        <v>0</v>
      </c>
      <c r="L1265" t="n">
        <v>0</v>
      </c>
      <c r="M1265" t="n">
        <v>0</v>
      </c>
      <c r="N1265" t="n">
        <v>0</v>
      </c>
      <c r="O1265" t="n">
        <v>0</v>
      </c>
      <c r="P1265" t="n">
        <v>0</v>
      </c>
      <c r="Q1265" t="n">
        <v>0</v>
      </c>
      <c r="R1265" s="2" t="inlineStr"/>
    </row>
    <row r="1266" ht="15" customHeight="1">
      <c r="A1266" t="inlineStr">
        <is>
          <t>A 20032-2019</t>
        </is>
      </c>
      <c r="B1266" s="1" t="n">
        <v>43570</v>
      </c>
      <c r="C1266" s="1" t="n">
        <v>45210</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20004-2019</t>
        </is>
      </c>
      <c r="B1267" s="1" t="n">
        <v>43570</v>
      </c>
      <c r="C1267" s="1" t="n">
        <v>45210</v>
      </c>
      <c r="D1267" t="inlineStr">
        <is>
          <t>DALARNAS LÄN</t>
        </is>
      </c>
      <c r="E1267" t="inlineStr">
        <is>
          <t>ÄLVDALEN</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20311-2019</t>
        </is>
      </c>
      <c r="B1268" s="1" t="n">
        <v>43570</v>
      </c>
      <c r="C1268" s="1" t="n">
        <v>45210</v>
      </c>
      <c r="D1268" t="inlineStr">
        <is>
          <t>DALARNAS LÄN</t>
        </is>
      </c>
      <c r="E1268" t="inlineStr">
        <is>
          <t>RÄTTVIK</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20000-2019</t>
        </is>
      </c>
      <c r="B1269" s="1" t="n">
        <v>43570</v>
      </c>
      <c r="C1269" s="1" t="n">
        <v>45210</v>
      </c>
      <c r="D1269" t="inlineStr">
        <is>
          <t>DALARNAS LÄN</t>
        </is>
      </c>
      <c r="E1269" t="inlineStr">
        <is>
          <t>VANSBRO</t>
        </is>
      </c>
      <c r="G1269" t="n">
        <v>9.4</v>
      </c>
      <c r="H1269" t="n">
        <v>0</v>
      </c>
      <c r="I1269" t="n">
        <v>0</v>
      </c>
      <c r="J1269" t="n">
        <v>0</v>
      </c>
      <c r="K1269" t="n">
        <v>0</v>
      </c>
      <c r="L1269" t="n">
        <v>0</v>
      </c>
      <c r="M1269" t="n">
        <v>0</v>
      </c>
      <c r="N1269" t="n">
        <v>0</v>
      </c>
      <c r="O1269" t="n">
        <v>0</v>
      </c>
      <c r="P1269" t="n">
        <v>0</v>
      </c>
      <c r="Q1269" t="n">
        <v>0</v>
      </c>
      <c r="R1269" s="2" t="inlineStr"/>
    </row>
    <row r="1270" ht="15" customHeight="1">
      <c r="A1270" t="inlineStr">
        <is>
          <t>A 20104-2019</t>
        </is>
      </c>
      <c r="B1270" s="1" t="n">
        <v>43570</v>
      </c>
      <c r="C1270" s="1" t="n">
        <v>45210</v>
      </c>
      <c r="D1270" t="inlineStr">
        <is>
          <t>DALARNAS LÄN</t>
        </is>
      </c>
      <c r="E1270" t="inlineStr">
        <is>
          <t>ÄLVDALEN</t>
        </is>
      </c>
      <c r="F1270" t="inlineStr">
        <is>
          <t>Bergvik skog väst AB</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20226-2019</t>
        </is>
      </c>
      <c r="B1271" s="1" t="n">
        <v>43570</v>
      </c>
      <c r="C1271" s="1" t="n">
        <v>45210</v>
      </c>
      <c r="D1271" t="inlineStr">
        <is>
          <t>DALARNAS LÄN</t>
        </is>
      </c>
      <c r="E1271" t="inlineStr">
        <is>
          <t>MORA</t>
        </is>
      </c>
      <c r="G1271" t="n">
        <v>4.2</v>
      </c>
      <c r="H1271" t="n">
        <v>0</v>
      </c>
      <c r="I1271" t="n">
        <v>0</v>
      </c>
      <c r="J1271" t="n">
        <v>0</v>
      </c>
      <c r="K1271" t="n">
        <v>0</v>
      </c>
      <c r="L1271" t="n">
        <v>0</v>
      </c>
      <c r="M1271" t="n">
        <v>0</v>
      </c>
      <c r="N1271" t="n">
        <v>0</v>
      </c>
      <c r="O1271" t="n">
        <v>0</v>
      </c>
      <c r="P1271" t="n">
        <v>0</v>
      </c>
      <c r="Q1271" t="n">
        <v>0</v>
      </c>
      <c r="R1271" s="2" t="inlineStr"/>
    </row>
    <row r="1272" ht="15" customHeight="1">
      <c r="A1272" t="inlineStr">
        <is>
          <t>A 20391-2019</t>
        </is>
      </c>
      <c r="B1272" s="1" t="n">
        <v>43571</v>
      </c>
      <c r="C1272" s="1" t="n">
        <v>45210</v>
      </c>
      <c r="D1272" t="inlineStr">
        <is>
          <t>DALARNAS LÄN</t>
        </is>
      </c>
      <c r="E1272" t="inlineStr">
        <is>
          <t>FALUN</t>
        </is>
      </c>
      <c r="F1272" t="inlineStr">
        <is>
          <t>Kyrkan</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20398-2019</t>
        </is>
      </c>
      <c r="B1273" s="1" t="n">
        <v>43571</v>
      </c>
      <c r="C1273" s="1" t="n">
        <v>45210</v>
      </c>
      <c r="D1273" t="inlineStr">
        <is>
          <t>DALARNAS LÄN</t>
        </is>
      </c>
      <c r="E1273" t="inlineStr">
        <is>
          <t>FALUN</t>
        </is>
      </c>
      <c r="F1273" t="inlineStr">
        <is>
          <t>Kyrkan</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20392-2019</t>
        </is>
      </c>
      <c r="B1274" s="1" t="n">
        <v>43571</v>
      </c>
      <c r="C1274" s="1" t="n">
        <v>45210</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20399-2019</t>
        </is>
      </c>
      <c r="B1275" s="1" t="n">
        <v>43571</v>
      </c>
      <c r="C1275" s="1" t="n">
        <v>45210</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20394-2019</t>
        </is>
      </c>
      <c r="B1276" s="1" t="n">
        <v>43571</v>
      </c>
      <c r="C1276" s="1" t="n">
        <v>45210</v>
      </c>
      <c r="D1276" t="inlineStr">
        <is>
          <t>DALARNAS LÄN</t>
        </is>
      </c>
      <c r="E1276" t="inlineStr">
        <is>
          <t>FALUN</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20464-2019</t>
        </is>
      </c>
      <c r="B1277" s="1" t="n">
        <v>43572</v>
      </c>
      <c r="C1277" s="1" t="n">
        <v>45210</v>
      </c>
      <c r="D1277" t="inlineStr">
        <is>
          <t>DALARNAS LÄN</t>
        </is>
      </c>
      <c r="E1277" t="inlineStr">
        <is>
          <t>MORA</t>
        </is>
      </c>
      <c r="G1277" t="n">
        <v>12.1</v>
      </c>
      <c r="H1277" t="n">
        <v>0</v>
      </c>
      <c r="I1277" t="n">
        <v>0</v>
      </c>
      <c r="J1277" t="n">
        <v>0</v>
      </c>
      <c r="K1277" t="n">
        <v>0</v>
      </c>
      <c r="L1277" t="n">
        <v>0</v>
      </c>
      <c r="M1277" t="n">
        <v>0</v>
      </c>
      <c r="N1277" t="n">
        <v>0</v>
      </c>
      <c r="O1277" t="n">
        <v>0</v>
      </c>
      <c r="P1277" t="n">
        <v>0</v>
      </c>
      <c r="Q1277" t="n">
        <v>0</v>
      </c>
      <c r="R1277" s="2" t="inlineStr"/>
    </row>
    <row r="1278" ht="15" customHeight="1">
      <c r="A1278" t="inlineStr">
        <is>
          <t>A 20593-2019</t>
        </is>
      </c>
      <c r="B1278" s="1" t="n">
        <v>43572</v>
      </c>
      <c r="C1278" s="1" t="n">
        <v>45210</v>
      </c>
      <c r="D1278" t="inlineStr">
        <is>
          <t>DALARNAS LÄN</t>
        </is>
      </c>
      <c r="E1278" t="inlineStr">
        <is>
          <t>VANSBRO</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20667-2019</t>
        </is>
      </c>
      <c r="B1279" s="1" t="n">
        <v>43573</v>
      </c>
      <c r="C1279" s="1" t="n">
        <v>45210</v>
      </c>
      <c r="D1279" t="inlineStr">
        <is>
          <t>DALARNAS LÄN</t>
        </is>
      </c>
      <c r="E1279" t="inlineStr">
        <is>
          <t>AVESTA</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20948-2019</t>
        </is>
      </c>
      <c r="B1280" s="1" t="n">
        <v>43578</v>
      </c>
      <c r="C1280" s="1" t="n">
        <v>45210</v>
      </c>
      <c r="D1280" t="inlineStr">
        <is>
          <t>DALARNAS LÄN</t>
        </is>
      </c>
      <c r="E1280" t="inlineStr">
        <is>
          <t>ÄLVDALEN</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21900-2019</t>
        </is>
      </c>
      <c r="B1281" s="1" t="n">
        <v>43578</v>
      </c>
      <c r="C1281" s="1" t="n">
        <v>45210</v>
      </c>
      <c r="D1281" t="inlineStr">
        <is>
          <t>DALARNAS LÄN</t>
        </is>
      </c>
      <c r="E1281" t="inlineStr">
        <is>
          <t>GAGNEF</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20962-2019</t>
        </is>
      </c>
      <c r="B1282" s="1" t="n">
        <v>43578</v>
      </c>
      <c r="C1282" s="1" t="n">
        <v>45210</v>
      </c>
      <c r="D1282" t="inlineStr">
        <is>
          <t>DALARNAS LÄN</t>
        </is>
      </c>
      <c r="E1282" t="inlineStr">
        <is>
          <t>ÄLVDALEN</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21209-2019</t>
        </is>
      </c>
      <c r="B1283" s="1" t="n">
        <v>43579</v>
      </c>
      <c r="C1283" s="1" t="n">
        <v>45210</v>
      </c>
      <c r="D1283" t="inlineStr">
        <is>
          <t>DALARNAS LÄN</t>
        </is>
      </c>
      <c r="E1283" t="inlineStr">
        <is>
          <t>VANSBRO</t>
        </is>
      </c>
      <c r="G1283" t="n">
        <v>10.8</v>
      </c>
      <c r="H1283" t="n">
        <v>0</v>
      </c>
      <c r="I1283" t="n">
        <v>0</v>
      </c>
      <c r="J1283" t="n">
        <v>0</v>
      </c>
      <c r="K1283" t="n">
        <v>0</v>
      </c>
      <c r="L1283" t="n">
        <v>0</v>
      </c>
      <c r="M1283" t="n">
        <v>0</v>
      </c>
      <c r="N1283" t="n">
        <v>0</v>
      </c>
      <c r="O1283" t="n">
        <v>0</v>
      </c>
      <c r="P1283" t="n">
        <v>0</v>
      </c>
      <c r="Q1283" t="n">
        <v>0</v>
      </c>
      <c r="R1283" s="2" t="inlineStr"/>
    </row>
    <row r="1284" ht="15" customHeight="1">
      <c r="A1284" t="inlineStr">
        <is>
          <t>A 21282-2019</t>
        </is>
      </c>
      <c r="B1284" s="1" t="n">
        <v>43579</v>
      </c>
      <c r="C1284" s="1" t="n">
        <v>45210</v>
      </c>
      <c r="D1284" t="inlineStr">
        <is>
          <t>DALARNAS LÄN</t>
        </is>
      </c>
      <c r="E1284" t="inlineStr">
        <is>
          <t>SÄTER</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21273-2019</t>
        </is>
      </c>
      <c r="B1285" s="1" t="n">
        <v>43579</v>
      </c>
      <c r="C1285" s="1" t="n">
        <v>45210</v>
      </c>
      <c r="D1285" t="inlineStr">
        <is>
          <t>DALARNAS LÄN</t>
        </is>
      </c>
      <c r="E1285" t="inlineStr">
        <is>
          <t>AVESTA</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21212-2019</t>
        </is>
      </c>
      <c r="B1286" s="1" t="n">
        <v>43579</v>
      </c>
      <c r="C1286" s="1" t="n">
        <v>45210</v>
      </c>
      <c r="D1286" t="inlineStr">
        <is>
          <t>DALARNAS LÄN</t>
        </is>
      </c>
      <c r="E1286" t="inlineStr">
        <is>
          <t>HEDEMORA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21248-2019</t>
        </is>
      </c>
      <c r="B1287" s="1" t="n">
        <v>43579</v>
      </c>
      <c r="C1287" s="1" t="n">
        <v>45210</v>
      </c>
      <c r="D1287" t="inlineStr">
        <is>
          <t>DALARNAS LÄN</t>
        </is>
      </c>
      <c r="E1287" t="inlineStr">
        <is>
          <t>FALUN</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21495-2019</t>
        </is>
      </c>
      <c r="B1288" s="1" t="n">
        <v>43580</v>
      </c>
      <c r="C1288" s="1" t="n">
        <v>45210</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21707-2019</t>
        </is>
      </c>
      <c r="B1289" s="1" t="n">
        <v>43581</v>
      </c>
      <c r="C1289" s="1" t="n">
        <v>45210</v>
      </c>
      <c r="D1289" t="inlineStr">
        <is>
          <t>DALARNAS LÄN</t>
        </is>
      </c>
      <c r="E1289" t="inlineStr">
        <is>
          <t>BORLÄNGE</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21717-2019</t>
        </is>
      </c>
      <c r="B1290" s="1" t="n">
        <v>43581</v>
      </c>
      <c r="C1290" s="1" t="n">
        <v>45210</v>
      </c>
      <c r="D1290" t="inlineStr">
        <is>
          <t>DALARNAS LÄN</t>
        </is>
      </c>
      <c r="E1290" t="inlineStr">
        <is>
          <t>ÄLVDALEN</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21998-2019</t>
        </is>
      </c>
      <c r="B1291" s="1" t="n">
        <v>43584</v>
      </c>
      <c r="C1291" s="1" t="n">
        <v>45210</v>
      </c>
      <c r="D1291" t="inlineStr">
        <is>
          <t>DALARNAS LÄN</t>
        </is>
      </c>
      <c r="E1291" t="inlineStr">
        <is>
          <t>FALUN</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22029-2019</t>
        </is>
      </c>
      <c r="B1292" s="1" t="n">
        <v>43584</v>
      </c>
      <c r="C1292" s="1" t="n">
        <v>45210</v>
      </c>
      <c r="D1292" t="inlineStr">
        <is>
          <t>DALARNAS LÄN</t>
        </is>
      </c>
      <c r="E1292" t="inlineStr">
        <is>
          <t>SMEDJEBACKEN</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21969-2019</t>
        </is>
      </c>
      <c r="B1293" s="1" t="n">
        <v>43584</v>
      </c>
      <c r="C1293" s="1" t="n">
        <v>45210</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21947-2019</t>
        </is>
      </c>
      <c r="B1294" s="1" t="n">
        <v>43584</v>
      </c>
      <c r="C1294" s="1" t="n">
        <v>45210</v>
      </c>
      <c r="D1294" t="inlineStr">
        <is>
          <t>DALARNAS LÄN</t>
        </is>
      </c>
      <c r="E1294" t="inlineStr">
        <is>
          <t>RÄTTVIK</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21964-2019</t>
        </is>
      </c>
      <c r="B1295" s="1" t="n">
        <v>43584</v>
      </c>
      <c r="C1295" s="1" t="n">
        <v>45210</v>
      </c>
      <c r="D1295" t="inlineStr">
        <is>
          <t>DALARNAS LÄN</t>
        </is>
      </c>
      <c r="E1295" t="inlineStr">
        <is>
          <t>FALUN</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22347-2019</t>
        </is>
      </c>
      <c r="B1296" s="1" t="n">
        <v>43585</v>
      </c>
      <c r="C1296" s="1" t="n">
        <v>45210</v>
      </c>
      <c r="D1296" t="inlineStr">
        <is>
          <t>DALARNAS LÄN</t>
        </is>
      </c>
      <c r="E1296" t="inlineStr">
        <is>
          <t>RÄTTVIK</t>
        </is>
      </c>
      <c r="G1296" t="n">
        <v>4.4</v>
      </c>
      <c r="H1296" t="n">
        <v>0</v>
      </c>
      <c r="I1296" t="n">
        <v>0</v>
      </c>
      <c r="J1296" t="n">
        <v>0</v>
      </c>
      <c r="K1296" t="n">
        <v>0</v>
      </c>
      <c r="L1296" t="n">
        <v>0</v>
      </c>
      <c r="M1296" t="n">
        <v>0</v>
      </c>
      <c r="N1296" t="n">
        <v>0</v>
      </c>
      <c r="O1296" t="n">
        <v>0</v>
      </c>
      <c r="P1296" t="n">
        <v>0</v>
      </c>
      <c r="Q1296" t="n">
        <v>0</v>
      </c>
      <c r="R1296" s="2" t="inlineStr"/>
    </row>
    <row r="1297" ht="15" customHeight="1">
      <c r="A1297" t="inlineStr">
        <is>
          <t>A 22452-2019</t>
        </is>
      </c>
      <c r="B1297" s="1" t="n">
        <v>43587</v>
      </c>
      <c r="C1297" s="1" t="n">
        <v>45210</v>
      </c>
      <c r="D1297" t="inlineStr">
        <is>
          <t>DALARNAS LÄN</t>
        </is>
      </c>
      <c r="E1297" t="inlineStr">
        <is>
          <t>MALUNG-SÄLEN</t>
        </is>
      </c>
      <c r="F1297" t="inlineStr">
        <is>
          <t>Bergvik skog väst AB</t>
        </is>
      </c>
      <c r="G1297" t="n">
        <v>6</v>
      </c>
      <c r="H1297" t="n">
        <v>0</v>
      </c>
      <c r="I1297" t="n">
        <v>0</v>
      </c>
      <c r="J1297" t="n">
        <v>0</v>
      </c>
      <c r="K1297" t="n">
        <v>0</v>
      </c>
      <c r="L1297" t="n">
        <v>0</v>
      </c>
      <c r="M1297" t="n">
        <v>0</v>
      </c>
      <c r="N1297" t="n">
        <v>0</v>
      </c>
      <c r="O1297" t="n">
        <v>0</v>
      </c>
      <c r="P1297" t="n">
        <v>0</v>
      </c>
      <c r="Q1297" t="n">
        <v>0</v>
      </c>
      <c r="R1297" s="2" t="inlineStr"/>
    </row>
    <row r="1298" ht="15" customHeight="1">
      <c r="A1298" t="inlineStr">
        <is>
          <t>A 22428-2019</t>
        </is>
      </c>
      <c r="B1298" s="1" t="n">
        <v>43587</v>
      </c>
      <c r="C1298" s="1" t="n">
        <v>45210</v>
      </c>
      <c r="D1298" t="inlineStr">
        <is>
          <t>DALARNAS LÄN</t>
        </is>
      </c>
      <c r="E1298" t="inlineStr">
        <is>
          <t>VANSBRO</t>
        </is>
      </c>
      <c r="F1298" t="inlineStr">
        <is>
          <t>Bergvik skog väst AB</t>
        </is>
      </c>
      <c r="G1298" t="n">
        <v>4</v>
      </c>
      <c r="H1298" t="n">
        <v>0</v>
      </c>
      <c r="I1298" t="n">
        <v>0</v>
      </c>
      <c r="J1298" t="n">
        <v>0</v>
      </c>
      <c r="K1298" t="n">
        <v>0</v>
      </c>
      <c r="L1298" t="n">
        <v>0</v>
      </c>
      <c r="M1298" t="n">
        <v>0</v>
      </c>
      <c r="N1298" t="n">
        <v>0</v>
      </c>
      <c r="O1298" t="n">
        <v>0</v>
      </c>
      <c r="P1298" t="n">
        <v>0</v>
      </c>
      <c r="Q1298" t="n">
        <v>0</v>
      </c>
      <c r="R1298" s="2" t="inlineStr"/>
    </row>
    <row r="1299" ht="15" customHeight="1">
      <c r="A1299" t="inlineStr">
        <is>
          <t>A 22560-2019</t>
        </is>
      </c>
      <c r="B1299" s="1" t="n">
        <v>43587</v>
      </c>
      <c r="C1299" s="1" t="n">
        <v>45210</v>
      </c>
      <c r="D1299" t="inlineStr">
        <is>
          <t>DALARNAS LÄN</t>
        </is>
      </c>
      <c r="E1299" t="inlineStr">
        <is>
          <t>RÄTTVIK</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22494-2019</t>
        </is>
      </c>
      <c r="B1300" s="1" t="n">
        <v>43587</v>
      </c>
      <c r="C1300" s="1" t="n">
        <v>45210</v>
      </c>
      <c r="D1300" t="inlineStr">
        <is>
          <t>DALARNAS LÄN</t>
        </is>
      </c>
      <c r="E1300" t="inlineStr">
        <is>
          <t>HEDEMORA</t>
        </is>
      </c>
      <c r="G1300" t="n">
        <v>5.3</v>
      </c>
      <c r="H1300" t="n">
        <v>0</v>
      </c>
      <c r="I1300" t="n">
        <v>0</v>
      </c>
      <c r="J1300" t="n">
        <v>0</v>
      </c>
      <c r="K1300" t="n">
        <v>0</v>
      </c>
      <c r="L1300" t="n">
        <v>0</v>
      </c>
      <c r="M1300" t="n">
        <v>0</v>
      </c>
      <c r="N1300" t="n">
        <v>0</v>
      </c>
      <c r="O1300" t="n">
        <v>0</v>
      </c>
      <c r="P1300" t="n">
        <v>0</v>
      </c>
      <c r="Q1300" t="n">
        <v>0</v>
      </c>
      <c r="R1300" s="2" t="inlineStr"/>
    </row>
    <row r="1301" ht="15" customHeight="1">
      <c r="A1301" t="inlineStr">
        <is>
          <t>A 22551-2019</t>
        </is>
      </c>
      <c r="B1301" s="1" t="n">
        <v>43587</v>
      </c>
      <c r="C1301" s="1" t="n">
        <v>45210</v>
      </c>
      <c r="D1301" t="inlineStr">
        <is>
          <t>DALARNAS LÄN</t>
        </is>
      </c>
      <c r="E1301" t="inlineStr">
        <is>
          <t>FALUN</t>
        </is>
      </c>
      <c r="F1301" t="inlineStr">
        <is>
          <t>Bergvik skog väst AB</t>
        </is>
      </c>
      <c r="G1301" t="n">
        <v>10.8</v>
      </c>
      <c r="H1301" t="n">
        <v>0</v>
      </c>
      <c r="I1301" t="n">
        <v>0</v>
      </c>
      <c r="J1301" t="n">
        <v>0</v>
      </c>
      <c r="K1301" t="n">
        <v>0</v>
      </c>
      <c r="L1301" t="n">
        <v>0</v>
      </c>
      <c r="M1301" t="n">
        <v>0</v>
      </c>
      <c r="N1301" t="n">
        <v>0</v>
      </c>
      <c r="O1301" t="n">
        <v>0</v>
      </c>
      <c r="P1301" t="n">
        <v>0</v>
      </c>
      <c r="Q1301" t="n">
        <v>0</v>
      </c>
      <c r="R1301" s="2" t="inlineStr"/>
    </row>
    <row r="1302" ht="15" customHeight="1">
      <c r="A1302" t="inlineStr">
        <is>
          <t>A 22810-2019</t>
        </is>
      </c>
      <c r="B1302" s="1" t="n">
        <v>43590</v>
      </c>
      <c r="C1302" s="1" t="n">
        <v>45210</v>
      </c>
      <c r="D1302" t="inlineStr">
        <is>
          <t>DALARNAS LÄN</t>
        </is>
      </c>
      <c r="E1302" t="inlineStr">
        <is>
          <t>HEDEMORA</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22809-2019</t>
        </is>
      </c>
      <c r="B1303" s="1" t="n">
        <v>43590</v>
      </c>
      <c r="C1303" s="1" t="n">
        <v>45210</v>
      </c>
      <c r="D1303" t="inlineStr">
        <is>
          <t>DALARNAS LÄN</t>
        </is>
      </c>
      <c r="E1303" t="inlineStr">
        <is>
          <t>MALUNG-SÄLEN</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22970-2019</t>
        </is>
      </c>
      <c r="B1304" s="1" t="n">
        <v>43591</v>
      </c>
      <c r="C1304" s="1" t="n">
        <v>45210</v>
      </c>
      <c r="D1304" t="inlineStr">
        <is>
          <t>DALARNAS LÄN</t>
        </is>
      </c>
      <c r="E1304" t="inlineStr">
        <is>
          <t>MORA</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22881-2019</t>
        </is>
      </c>
      <c r="B1305" s="1" t="n">
        <v>43591</v>
      </c>
      <c r="C1305" s="1" t="n">
        <v>45210</v>
      </c>
      <c r="D1305" t="inlineStr">
        <is>
          <t>DALARNAS LÄN</t>
        </is>
      </c>
      <c r="E1305" t="inlineStr">
        <is>
          <t>GAGNEF</t>
        </is>
      </c>
      <c r="G1305" t="n">
        <v>4</v>
      </c>
      <c r="H1305" t="n">
        <v>0</v>
      </c>
      <c r="I1305" t="n">
        <v>0</v>
      </c>
      <c r="J1305" t="n">
        <v>0</v>
      </c>
      <c r="K1305" t="n">
        <v>0</v>
      </c>
      <c r="L1305" t="n">
        <v>0</v>
      </c>
      <c r="M1305" t="n">
        <v>0</v>
      </c>
      <c r="N1305" t="n">
        <v>0</v>
      </c>
      <c r="O1305" t="n">
        <v>0</v>
      </c>
      <c r="P1305" t="n">
        <v>0</v>
      </c>
      <c r="Q1305" t="n">
        <v>0</v>
      </c>
      <c r="R1305" s="2" t="inlineStr"/>
    </row>
    <row r="1306" ht="15" customHeight="1">
      <c r="A1306" t="inlineStr">
        <is>
          <t>A 23005-2019</t>
        </is>
      </c>
      <c r="B1306" s="1" t="n">
        <v>43591</v>
      </c>
      <c r="C1306" s="1" t="n">
        <v>45210</v>
      </c>
      <c r="D1306" t="inlineStr">
        <is>
          <t>DALARNAS LÄN</t>
        </is>
      </c>
      <c r="E1306" t="inlineStr">
        <is>
          <t>FALUN</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22975-2019</t>
        </is>
      </c>
      <c r="B1307" s="1" t="n">
        <v>43591</v>
      </c>
      <c r="C1307" s="1" t="n">
        <v>45210</v>
      </c>
      <c r="D1307" t="inlineStr">
        <is>
          <t>DALARNAS LÄN</t>
        </is>
      </c>
      <c r="E1307" t="inlineStr">
        <is>
          <t>LEKSAND</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23324-2019</t>
        </is>
      </c>
      <c r="B1308" s="1" t="n">
        <v>43591</v>
      </c>
      <c r="C1308" s="1" t="n">
        <v>45210</v>
      </c>
      <c r="D1308" t="inlineStr">
        <is>
          <t>DALARNAS LÄN</t>
        </is>
      </c>
      <c r="E1308" t="inlineStr">
        <is>
          <t>FALUN</t>
        </is>
      </c>
      <c r="G1308" t="n">
        <v>3.5</v>
      </c>
      <c r="H1308" t="n">
        <v>0</v>
      </c>
      <c r="I1308" t="n">
        <v>0</v>
      </c>
      <c r="J1308" t="n">
        <v>0</v>
      </c>
      <c r="K1308" t="n">
        <v>0</v>
      </c>
      <c r="L1308" t="n">
        <v>0</v>
      </c>
      <c r="M1308" t="n">
        <v>0</v>
      </c>
      <c r="N1308" t="n">
        <v>0</v>
      </c>
      <c r="O1308" t="n">
        <v>0</v>
      </c>
      <c r="P1308" t="n">
        <v>0</v>
      </c>
      <c r="Q1308" t="n">
        <v>0</v>
      </c>
      <c r="R1308" s="2" t="inlineStr"/>
    </row>
    <row r="1309" ht="15" customHeight="1">
      <c r="A1309" t="inlineStr">
        <is>
          <t>A 23374-2019</t>
        </is>
      </c>
      <c r="B1309" s="1" t="n">
        <v>43592</v>
      </c>
      <c r="C1309" s="1" t="n">
        <v>45210</v>
      </c>
      <c r="D1309" t="inlineStr">
        <is>
          <t>DALARNAS LÄN</t>
        </is>
      </c>
      <c r="E1309" t="inlineStr">
        <is>
          <t>RÄTTVIK</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23176-2019</t>
        </is>
      </c>
      <c r="B1310" s="1" t="n">
        <v>43592</v>
      </c>
      <c r="C1310" s="1" t="n">
        <v>45210</v>
      </c>
      <c r="D1310" t="inlineStr">
        <is>
          <t>DALARNAS LÄN</t>
        </is>
      </c>
      <c r="E1310" t="inlineStr">
        <is>
          <t>RÄTTVIK</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23154-2019</t>
        </is>
      </c>
      <c r="B1311" s="1" t="n">
        <v>43592</v>
      </c>
      <c r="C1311" s="1" t="n">
        <v>45210</v>
      </c>
      <c r="D1311" t="inlineStr">
        <is>
          <t>DALARNAS LÄN</t>
        </is>
      </c>
      <c r="E1311" t="inlineStr">
        <is>
          <t>RÄTTVIK</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23351-2019</t>
        </is>
      </c>
      <c r="B1312" s="1" t="n">
        <v>43593</v>
      </c>
      <c r="C1312" s="1" t="n">
        <v>45210</v>
      </c>
      <c r="D1312" t="inlineStr">
        <is>
          <t>DALARNAS LÄN</t>
        </is>
      </c>
      <c r="E1312" t="inlineStr">
        <is>
          <t>LUDVIKA</t>
        </is>
      </c>
      <c r="G1312" t="n">
        <v>3.3</v>
      </c>
      <c r="H1312" t="n">
        <v>0</v>
      </c>
      <c r="I1312" t="n">
        <v>0</v>
      </c>
      <c r="J1312" t="n">
        <v>0</v>
      </c>
      <c r="K1312" t="n">
        <v>0</v>
      </c>
      <c r="L1312" t="n">
        <v>0</v>
      </c>
      <c r="M1312" t="n">
        <v>0</v>
      </c>
      <c r="N1312" t="n">
        <v>0</v>
      </c>
      <c r="O1312" t="n">
        <v>0</v>
      </c>
      <c r="P1312" t="n">
        <v>0</v>
      </c>
      <c r="Q1312" t="n">
        <v>0</v>
      </c>
      <c r="R1312" s="2" t="inlineStr"/>
    </row>
    <row r="1313" ht="15" customHeight="1">
      <c r="A1313" t="inlineStr">
        <is>
          <t>A 23576-2019</t>
        </is>
      </c>
      <c r="B1313" s="1" t="n">
        <v>43593</v>
      </c>
      <c r="C1313" s="1" t="n">
        <v>45210</v>
      </c>
      <c r="D1313" t="inlineStr">
        <is>
          <t>DALARNAS LÄN</t>
        </is>
      </c>
      <c r="E1313" t="inlineStr">
        <is>
          <t>SMEDJEBACKEN</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23360-2019</t>
        </is>
      </c>
      <c r="B1314" s="1" t="n">
        <v>43593</v>
      </c>
      <c r="C1314" s="1" t="n">
        <v>45210</v>
      </c>
      <c r="D1314" t="inlineStr">
        <is>
          <t>DALARNAS LÄN</t>
        </is>
      </c>
      <c r="E1314" t="inlineStr">
        <is>
          <t>ÄLVDALEN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23302-2019</t>
        </is>
      </c>
      <c r="B1315" s="1" t="n">
        <v>43593</v>
      </c>
      <c r="C1315" s="1" t="n">
        <v>45210</v>
      </c>
      <c r="D1315" t="inlineStr">
        <is>
          <t>DALARNAS LÄN</t>
        </is>
      </c>
      <c r="E1315" t="inlineStr">
        <is>
          <t>VANSBRO</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23665-2019</t>
        </is>
      </c>
      <c r="B1316" s="1" t="n">
        <v>43594</v>
      </c>
      <c r="C1316" s="1" t="n">
        <v>45210</v>
      </c>
      <c r="D1316" t="inlineStr">
        <is>
          <t>DALARNAS LÄN</t>
        </is>
      </c>
      <c r="E1316" t="inlineStr">
        <is>
          <t>MORA</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23492-2019</t>
        </is>
      </c>
      <c r="B1317" s="1" t="n">
        <v>43594</v>
      </c>
      <c r="C1317" s="1" t="n">
        <v>45210</v>
      </c>
      <c r="D1317" t="inlineStr">
        <is>
          <t>DALARNAS LÄN</t>
        </is>
      </c>
      <c r="E1317" t="inlineStr">
        <is>
          <t>HEDEMORA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23757-2019</t>
        </is>
      </c>
      <c r="B1318" s="1" t="n">
        <v>43594</v>
      </c>
      <c r="C1318" s="1" t="n">
        <v>45210</v>
      </c>
      <c r="D1318" t="inlineStr">
        <is>
          <t>DALARNAS LÄN</t>
        </is>
      </c>
      <c r="E1318" t="inlineStr">
        <is>
          <t>GAGNEF</t>
        </is>
      </c>
      <c r="G1318" t="n">
        <v>4.8</v>
      </c>
      <c r="H1318" t="n">
        <v>0</v>
      </c>
      <c r="I1318" t="n">
        <v>0</v>
      </c>
      <c r="J1318" t="n">
        <v>0</v>
      </c>
      <c r="K1318" t="n">
        <v>0</v>
      </c>
      <c r="L1318" t="n">
        <v>0</v>
      </c>
      <c r="M1318" t="n">
        <v>0</v>
      </c>
      <c r="N1318" t="n">
        <v>0</v>
      </c>
      <c r="O1318" t="n">
        <v>0</v>
      </c>
      <c r="P1318" t="n">
        <v>0</v>
      </c>
      <c r="Q1318" t="n">
        <v>0</v>
      </c>
      <c r="R1318" s="2" t="inlineStr"/>
    </row>
    <row r="1319" ht="15" customHeight="1">
      <c r="A1319" t="inlineStr">
        <is>
          <t>A 23487-2019</t>
        </is>
      </c>
      <c r="B1319" s="1" t="n">
        <v>43594</v>
      </c>
      <c r="C1319" s="1" t="n">
        <v>45210</v>
      </c>
      <c r="D1319" t="inlineStr">
        <is>
          <t>DALARNAS LÄN</t>
        </is>
      </c>
      <c r="E1319" t="inlineStr">
        <is>
          <t>LUDVIKA</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23636-2019</t>
        </is>
      </c>
      <c r="B1320" s="1" t="n">
        <v>43594</v>
      </c>
      <c r="C1320" s="1" t="n">
        <v>45210</v>
      </c>
      <c r="D1320" t="inlineStr">
        <is>
          <t>DALARNAS LÄN</t>
        </is>
      </c>
      <c r="E1320" t="inlineStr">
        <is>
          <t>MORA</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23779-2019</t>
        </is>
      </c>
      <c r="B1321" s="1" t="n">
        <v>43595</v>
      </c>
      <c r="C1321" s="1" t="n">
        <v>45210</v>
      </c>
      <c r="D1321" t="inlineStr">
        <is>
          <t>DALARNAS LÄN</t>
        </is>
      </c>
      <c r="E1321" t="inlineStr">
        <is>
          <t>SÄTER</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23808-2019</t>
        </is>
      </c>
      <c r="B1322" s="1" t="n">
        <v>43595</v>
      </c>
      <c r="C1322" s="1" t="n">
        <v>45210</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23804-2019</t>
        </is>
      </c>
      <c r="B1323" s="1" t="n">
        <v>43595</v>
      </c>
      <c r="C1323" s="1" t="n">
        <v>45210</v>
      </c>
      <c r="D1323" t="inlineStr">
        <is>
          <t>DALARNAS LÄN</t>
        </is>
      </c>
      <c r="E1323" t="inlineStr">
        <is>
          <t>HEDEMORA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23809-2019</t>
        </is>
      </c>
      <c r="B1324" s="1" t="n">
        <v>43595</v>
      </c>
      <c r="C1324" s="1" t="n">
        <v>45210</v>
      </c>
      <c r="D1324" t="inlineStr">
        <is>
          <t>DALARNAS LÄN</t>
        </is>
      </c>
      <c r="E1324" t="inlineStr">
        <is>
          <t>MALUNG-SÄLEN</t>
        </is>
      </c>
      <c r="G1324" t="n">
        <v>9</v>
      </c>
      <c r="H1324" t="n">
        <v>0</v>
      </c>
      <c r="I1324" t="n">
        <v>0</v>
      </c>
      <c r="J1324" t="n">
        <v>0</v>
      </c>
      <c r="K1324" t="n">
        <v>0</v>
      </c>
      <c r="L1324" t="n">
        <v>0</v>
      </c>
      <c r="M1324" t="n">
        <v>0</v>
      </c>
      <c r="N1324" t="n">
        <v>0</v>
      </c>
      <c r="O1324" t="n">
        <v>0</v>
      </c>
      <c r="P1324" t="n">
        <v>0</v>
      </c>
      <c r="Q1324" t="n">
        <v>0</v>
      </c>
      <c r="R1324" s="2" t="inlineStr"/>
    </row>
    <row r="1325" ht="15" customHeight="1">
      <c r="A1325" t="inlineStr">
        <is>
          <t>A 23907-2019</t>
        </is>
      </c>
      <c r="B1325" s="1" t="n">
        <v>43595</v>
      </c>
      <c r="C1325" s="1" t="n">
        <v>45210</v>
      </c>
      <c r="D1325" t="inlineStr">
        <is>
          <t>DALARNAS LÄN</t>
        </is>
      </c>
      <c r="E1325" t="inlineStr">
        <is>
          <t>SMEDJEBACKEN</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23946-2019</t>
        </is>
      </c>
      <c r="B1326" s="1" t="n">
        <v>43596</v>
      </c>
      <c r="C1326" s="1" t="n">
        <v>45210</v>
      </c>
      <c r="D1326" t="inlineStr">
        <is>
          <t>DALARNAS LÄN</t>
        </is>
      </c>
      <c r="E1326" t="inlineStr">
        <is>
          <t>ÄLVDALEN</t>
        </is>
      </c>
      <c r="G1326" t="n">
        <v>3.6</v>
      </c>
      <c r="H1326" t="n">
        <v>0</v>
      </c>
      <c r="I1326" t="n">
        <v>0</v>
      </c>
      <c r="J1326" t="n">
        <v>0</v>
      </c>
      <c r="K1326" t="n">
        <v>0</v>
      </c>
      <c r="L1326" t="n">
        <v>0</v>
      </c>
      <c r="M1326" t="n">
        <v>0</v>
      </c>
      <c r="N1326" t="n">
        <v>0</v>
      </c>
      <c r="O1326" t="n">
        <v>0</v>
      </c>
      <c r="P1326" t="n">
        <v>0</v>
      </c>
      <c r="Q1326" t="n">
        <v>0</v>
      </c>
      <c r="R1326" s="2" t="inlineStr"/>
    </row>
    <row r="1327" ht="15" customHeight="1">
      <c r="A1327" t="inlineStr">
        <is>
          <t>A 24051-2019</t>
        </is>
      </c>
      <c r="B1327" s="1" t="n">
        <v>43598</v>
      </c>
      <c r="C1327" s="1" t="n">
        <v>45210</v>
      </c>
      <c r="D1327" t="inlineStr">
        <is>
          <t>DALARNAS LÄN</t>
        </is>
      </c>
      <c r="E1327" t="inlineStr">
        <is>
          <t>LEKSAND</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24087-2019</t>
        </is>
      </c>
      <c r="B1328" s="1" t="n">
        <v>43598</v>
      </c>
      <c r="C1328" s="1" t="n">
        <v>45210</v>
      </c>
      <c r="D1328" t="inlineStr">
        <is>
          <t>DALARNAS LÄN</t>
        </is>
      </c>
      <c r="E1328" t="inlineStr">
        <is>
          <t>GAGNEF</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24300-2019</t>
        </is>
      </c>
      <c r="B1329" s="1" t="n">
        <v>43598</v>
      </c>
      <c r="C1329" s="1" t="n">
        <v>45210</v>
      </c>
      <c r="D1329" t="inlineStr">
        <is>
          <t>DALARNAS LÄN</t>
        </is>
      </c>
      <c r="E1329" t="inlineStr">
        <is>
          <t>LEKSAND</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24266-2019</t>
        </is>
      </c>
      <c r="B1330" s="1" t="n">
        <v>43599</v>
      </c>
      <c r="C1330" s="1" t="n">
        <v>45210</v>
      </c>
      <c r="D1330" t="inlineStr">
        <is>
          <t>DALARNAS LÄN</t>
        </is>
      </c>
      <c r="E1330" t="inlineStr">
        <is>
          <t>RÄTTVIK</t>
        </is>
      </c>
      <c r="G1330" t="n">
        <v>3.8</v>
      </c>
      <c r="H1330" t="n">
        <v>0</v>
      </c>
      <c r="I1330" t="n">
        <v>0</v>
      </c>
      <c r="J1330" t="n">
        <v>0</v>
      </c>
      <c r="K1330" t="n">
        <v>0</v>
      </c>
      <c r="L1330" t="n">
        <v>0</v>
      </c>
      <c r="M1330" t="n">
        <v>0</v>
      </c>
      <c r="N1330" t="n">
        <v>0</v>
      </c>
      <c r="O1330" t="n">
        <v>0</v>
      </c>
      <c r="P1330" t="n">
        <v>0</v>
      </c>
      <c r="Q1330" t="n">
        <v>0</v>
      </c>
      <c r="R1330" s="2" t="inlineStr"/>
    </row>
    <row r="1331" ht="15" customHeight="1">
      <c r="A1331" t="inlineStr">
        <is>
          <t>A 24542-2019</t>
        </is>
      </c>
      <c r="B1331" s="1" t="n">
        <v>43600</v>
      </c>
      <c r="C1331" s="1" t="n">
        <v>45210</v>
      </c>
      <c r="D1331" t="inlineStr">
        <is>
          <t>DALARNAS LÄN</t>
        </is>
      </c>
      <c r="E1331" t="inlineStr">
        <is>
          <t>LEKSAND</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24630-2019</t>
        </is>
      </c>
      <c r="B1332" s="1" t="n">
        <v>43601</v>
      </c>
      <c r="C1332" s="1" t="n">
        <v>45210</v>
      </c>
      <c r="D1332" t="inlineStr">
        <is>
          <t>DALARNAS LÄN</t>
        </is>
      </c>
      <c r="E1332" t="inlineStr">
        <is>
          <t>MORA</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24735-2019</t>
        </is>
      </c>
      <c r="B1333" s="1" t="n">
        <v>43601</v>
      </c>
      <c r="C1333" s="1" t="n">
        <v>45210</v>
      </c>
      <c r="D1333" t="inlineStr">
        <is>
          <t>DALARNAS LÄN</t>
        </is>
      </c>
      <c r="E1333" t="inlineStr">
        <is>
          <t>GAGNEF</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24629-2019</t>
        </is>
      </c>
      <c r="B1334" s="1" t="n">
        <v>43601</v>
      </c>
      <c r="C1334" s="1" t="n">
        <v>45210</v>
      </c>
      <c r="D1334" t="inlineStr">
        <is>
          <t>DALARNAS LÄN</t>
        </is>
      </c>
      <c r="E1334" t="inlineStr">
        <is>
          <t>LUDVIKA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24651-2019</t>
        </is>
      </c>
      <c r="B1335" s="1" t="n">
        <v>43601</v>
      </c>
      <c r="C1335" s="1" t="n">
        <v>45210</v>
      </c>
      <c r="D1335" t="inlineStr">
        <is>
          <t>DALARNAS LÄN</t>
        </is>
      </c>
      <c r="E1335" t="inlineStr">
        <is>
          <t>ÄLVDALEN</t>
        </is>
      </c>
      <c r="G1335" t="n">
        <v>10.1</v>
      </c>
      <c r="H1335" t="n">
        <v>0</v>
      </c>
      <c r="I1335" t="n">
        <v>0</v>
      </c>
      <c r="J1335" t="n">
        <v>0</v>
      </c>
      <c r="K1335" t="n">
        <v>0</v>
      </c>
      <c r="L1335" t="n">
        <v>0</v>
      </c>
      <c r="M1335" t="n">
        <v>0</v>
      </c>
      <c r="N1335" t="n">
        <v>0</v>
      </c>
      <c r="O1335" t="n">
        <v>0</v>
      </c>
      <c r="P1335" t="n">
        <v>0</v>
      </c>
      <c r="Q1335" t="n">
        <v>0</v>
      </c>
      <c r="R1335" s="2" t="inlineStr"/>
    </row>
    <row r="1336" ht="15" customHeight="1">
      <c r="A1336" t="inlineStr">
        <is>
          <t>A 24626-2019</t>
        </is>
      </c>
      <c r="B1336" s="1" t="n">
        <v>43601</v>
      </c>
      <c r="C1336" s="1" t="n">
        <v>45210</v>
      </c>
      <c r="D1336" t="inlineStr">
        <is>
          <t>DALARNAS LÄN</t>
        </is>
      </c>
      <c r="E1336" t="inlineStr">
        <is>
          <t>GAGNEF</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25235-2019</t>
        </is>
      </c>
      <c r="B1337" s="1" t="n">
        <v>43601</v>
      </c>
      <c r="C1337" s="1" t="n">
        <v>45210</v>
      </c>
      <c r="D1337" t="inlineStr">
        <is>
          <t>DALARNAS LÄN</t>
        </is>
      </c>
      <c r="E1337" t="inlineStr">
        <is>
          <t>MORA</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24586-2019</t>
        </is>
      </c>
      <c r="B1338" s="1" t="n">
        <v>43601</v>
      </c>
      <c r="C1338" s="1" t="n">
        <v>45210</v>
      </c>
      <c r="D1338" t="inlineStr">
        <is>
          <t>DALARNAS LÄN</t>
        </is>
      </c>
      <c r="E1338" t="inlineStr">
        <is>
          <t>BORLÄNGE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24904-2019</t>
        </is>
      </c>
      <c r="B1339" s="1" t="n">
        <v>43602</v>
      </c>
      <c r="C1339" s="1" t="n">
        <v>45210</v>
      </c>
      <c r="D1339" t="inlineStr">
        <is>
          <t>DALARNAS LÄN</t>
        </is>
      </c>
      <c r="E1339" t="inlineStr">
        <is>
          <t>HEDEMORA</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24960-2019</t>
        </is>
      </c>
      <c r="B1340" s="1" t="n">
        <v>43602</v>
      </c>
      <c r="C1340" s="1" t="n">
        <v>45210</v>
      </c>
      <c r="D1340" t="inlineStr">
        <is>
          <t>DALARNAS LÄN</t>
        </is>
      </c>
      <c r="E1340" t="inlineStr">
        <is>
          <t>MORA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25007-2019</t>
        </is>
      </c>
      <c r="B1341" s="1" t="n">
        <v>43602</v>
      </c>
      <c r="C1341" s="1" t="n">
        <v>45210</v>
      </c>
      <c r="D1341" t="inlineStr">
        <is>
          <t>DALARNAS LÄN</t>
        </is>
      </c>
      <c r="E1341" t="inlineStr">
        <is>
          <t>VANSBRO</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25001-2019</t>
        </is>
      </c>
      <c r="B1342" s="1" t="n">
        <v>43602</v>
      </c>
      <c r="C1342" s="1" t="n">
        <v>45210</v>
      </c>
      <c r="D1342" t="inlineStr">
        <is>
          <t>DALARNAS LÄN</t>
        </is>
      </c>
      <c r="E1342" t="inlineStr">
        <is>
          <t>ÄLVDALEN</t>
        </is>
      </c>
      <c r="F1342" t="inlineStr">
        <is>
          <t>Kommuner</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25055-2019</t>
        </is>
      </c>
      <c r="B1343" s="1" t="n">
        <v>43604</v>
      </c>
      <c r="C1343" s="1" t="n">
        <v>45210</v>
      </c>
      <c r="D1343" t="inlineStr">
        <is>
          <t>DALARNAS LÄN</t>
        </is>
      </c>
      <c r="E1343" t="inlineStr">
        <is>
          <t>GAGNEF</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25110-2019</t>
        </is>
      </c>
      <c r="B1344" s="1" t="n">
        <v>43605</v>
      </c>
      <c r="C1344" s="1" t="n">
        <v>45210</v>
      </c>
      <c r="D1344" t="inlineStr">
        <is>
          <t>DALARNAS LÄN</t>
        </is>
      </c>
      <c r="E1344" t="inlineStr">
        <is>
          <t>FALUN</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25196-2019</t>
        </is>
      </c>
      <c r="B1345" s="1" t="n">
        <v>43605</v>
      </c>
      <c r="C1345" s="1" t="n">
        <v>45210</v>
      </c>
      <c r="D1345" t="inlineStr">
        <is>
          <t>DALARNAS LÄN</t>
        </is>
      </c>
      <c r="E1345" t="inlineStr">
        <is>
          <t>GAGNEF</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25249-2019</t>
        </is>
      </c>
      <c r="B1346" s="1" t="n">
        <v>43605</v>
      </c>
      <c r="C1346" s="1" t="n">
        <v>45210</v>
      </c>
      <c r="D1346" t="inlineStr">
        <is>
          <t>DALARNAS LÄN</t>
        </is>
      </c>
      <c r="E1346" t="inlineStr">
        <is>
          <t>GAGNEF</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25197-2019</t>
        </is>
      </c>
      <c r="B1347" s="1" t="n">
        <v>43605</v>
      </c>
      <c r="C1347" s="1" t="n">
        <v>45210</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25102-2019</t>
        </is>
      </c>
      <c r="B1348" s="1" t="n">
        <v>43605</v>
      </c>
      <c r="C1348" s="1" t="n">
        <v>45210</v>
      </c>
      <c r="D1348" t="inlineStr">
        <is>
          <t>DALARNAS LÄN</t>
        </is>
      </c>
      <c r="E1348" t="inlineStr">
        <is>
          <t>FALUN</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25116-2019</t>
        </is>
      </c>
      <c r="B1349" s="1" t="n">
        <v>43605</v>
      </c>
      <c r="C1349" s="1" t="n">
        <v>45210</v>
      </c>
      <c r="D1349" t="inlineStr">
        <is>
          <t>DALARNAS LÄN</t>
        </is>
      </c>
      <c r="E1349" t="inlineStr">
        <is>
          <t>LUDVIKA</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25193-2019</t>
        </is>
      </c>
      <c r="B1350" s="1" t="n">
        <v>43605</v>
      </c>
      <c r="C1350" s="1" t="n">
        <v>45210</v>
      </c>
      <c r="D1350" t="inlineStr">
        <is>
          <t>DALARNAS LÄN</t>
        </is>
      </c>
      <c r="E1350" t="inlineStr">
        <is>
          <t>AVESTA</t>
        </is>
      </c>
      <c r="G1350" t="n">
        <v>6.1</v>
      </c>
      <c r="H1350" t="n">
        <v>0</v>
      </c>
      <c r="I1350" t="n">
        <v>0</v>
      </c>
      <c r="J1350" t="n">
        <v>0</v>
      </c>
      <c r="K1350" t="n">
        <v>0</v>
      </c>
      <c r="L1350" t="n">
        <v>0</v>
      </c>
      <c r="M1350" t="n">
        <v>0</v>
      </c>
      <c r="N1350" t="n">
        <v>0</v>
      </c>
      <c r="O1350" t="n">
        <v>0</v>
      </c>
      <c r="P1350" t="n">
        <v>0</v>
      </c>
      <c r="Q1350" t="n">
        <v>0</v>
      </c>
      <c r="R1350" s="2" t="inlineStr"/>
    </row>
    <row r="1351" ht="15" customHeight="1">
      <c r="A1351" t="inlineStr">
        <is>
          <t>A 25425-2019</t>
        </is>
      </c>
      <c r="B1351" s="1" t="n">
        <v>43606</v>
      </c>
      <c r="C1351" s="1" t="n">
        <v>45210</v>
      </c>
      <c r="D1351" t="inlineStr">
        <is>
          <t>DALARNAS LÄN</t>
        </is>
      </c>
      <c r="E1351" t="inlineStr">
        <is>
          <t>LUDVIKA</t>
        </is>
      </c>
      <c r="F1351" t="inlineStr">
        <is>
          <t>Bergvik skog väst AB</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25494-2019</t>
        </is>
      </c>
      <c r="B1352" s="1" t="n">
        <v>43606</v>
      </c>
      <c r="C1352" s="1" t="n">
        <v>45210</v>
      </c>
      <c r="D1352" t="inlineStr">
        <is>
          <t>DALARNAS LÄN</t>
        </is>
      </c>
      <c r="E1352" t="inlineStr">
        <is>
          <t>FALUN</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25421-2019</t>
        </is>
      </c>
      <c r="B1353" s="1" t="n">
        <v>43606</v>
      </c>
      <c r="C1353" s="1" t="n">
        <v>45210</v>
      </c>
      <c r="D1353" t="inlineStr">
        <is>
          <t>DALARNAS LÄN</t>
        </is>
      </c>
      <c r="E1353" t="inlineStr">
        <is>
          <t>BORLÄNGE</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25496-2019</t>
        </is>
      </c>
      <c r="B1354" s="1" t="n">
        <v>43606</v>
      </c>
      <c r="C1354" s="1" t="n">
        <v>45210</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25643-2019</t>
        </is>
      </c>
      <c r="B1355" s="1" t="n">
        <v>43607</v>
      </c>
      <c r="C1355" s="1" t="n">
        <v>45210</v>
      </c>
      <c r="D1355" t="inlineStr">
        <is>
          <t>DALARNAS LÄN</t>
        </is>
      </c>
      <c r="E1355" t="inlineStr">
        <is>
          <t>VANSBRO</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25710-2019</t>
        </is>
      </c>
      <c r="B1356" s="1" t="n">
        <v>43607</v>
      </c>
      <c r="C1356" s="1" t="n">
        <v>45210</v>
      </c>
      <c r="D1356" t="inlineStr">
        <is>
          <t>DALARNAS LÄN</t>
        </is>
      </c>
      <c r="E1356" t="inlineStr">
        <is>
          <t>GAGNEF</t>
        </is>
      </c>
      <c r="F1356" t="inlineStr">
        <is>
          <t>Bergvik skog väst AB</t>
        </is>
      </c>
      <c r="G1356" t="n">
        <v>2.6</v>
      </c>
      <c r="H1356" t="n">
        <v>0</v>
      </c>
      <c r="I1356" t="n">
        <v>0</v>
      </c>
      <c r="J1356" t="n">
        <v>0</v>
      </c>
      <c r="K1356" t="n">
        <v>0</v>
      </c>
      <c r="L1356" t="n">
        <v>0</v>
      </c>
      <c r="M1356" t="n">
        <v>0</v>
      </c>
      <c r="N1356" t="n">
        <v>0</v>
      </c>
      <c r="O1356" t="n">
        <v>0</v>
      </c>
      <c r="P1356" t="n">
        <v>0</v>
      </c>
      <c r="Q1356" t="n">
        <v>0</v>
      </c>
      <c r="R1356" s="2" t="inlineStr"/>
    </row>
    <row r="1357" ht="15" customHeight="1">
      <c r="A1357" t="inlineStr">
        <is>
          <t>A 25671-2019</t>
        </is>
      </c>
      <c r="B1357" s="1" t="n">
        <v>43607</v>
      </c>
      <c r="C1357" s="1" t="n">
        <v>45210</v>
      </c>
      <c r="D1357" t="inlineStr">
        <is>
          <t>DALARNAS LÄN</t>
        </is>
      </c>
      <c r="E1357" t="inlineStr">
        <is>
          <t>SMEDJEBACKEN</t>
        </is>
      </c>
      <c r="F1357" t="inlineStr">
        <is>
          <t>Övriga Aktiebolag</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25851-2019</t>
        </is>
      </c>
      <c r="B1358" s="1" t="n">
        <v>43608</v>
      </c>
      <c r="C1358" s="1" t="n">
        <v>45210</v>
      </c>
      <c r="D1358" t="inlineStr">
        <is>
          <t>DALARNAS LÄN</t>
        </is>
      </c>
      <c r="E1358" t="inlineStr">
        <is>
          <t>FALUN</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25865-2019</t>
        </is>
      </c>
      <c r="B1359" s="1" t="n">
        <v>43608</v>
      </c>
      <c r="C1359" s="1" t="n">
        <v>45210</v>
      </c>
      <c r="D1359" t="inlineStr">
        <is>
          <t>DALARNAS LÄN</t>
        </is>
      </c>
      <c r="E1359" t="inlineStr">
        <is>
          <t>VANSBRO</t>
        </is>
      </c>
      <c r="F1359" t="inlineStr">
        <is>
          <t>Bergvik skog öst AB</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26103-2019</t>
        </is>
      </c>
      <c r="B1360" s="1" t="n">
        <v>43609</v>
      </c>
      <c r="C1360" s="1" t="n">
        <v>45210</v>
      </c>
      <c r="D1360" t="inlineStr">
        <is>
          <t>DALARNAS LÄN</t>
        </is>
      </c>
      <c r="E1360" t="inlineStr">
        <is>
          <t>ÄLVDALEN</t>
        </is>
      </c>
      <c r="G1360" t="n">
        <v>12.7</v>
      </c>
      <c r="H1360" t="n">
        <v>0</v>
      </c>
      <c r="I1360" t="n">
        <v>0</v>
      </c>
      <c r="J1360" t="n">
        <v>0</v>
      </c>
      <c r="K1360" t="n">
        <v>0</v>
      </c>
      <c r="L1360" t="n">
        <v>0</v>
      </c>
      <c r="M1360" t="n">
        <v>0</v>
      </c>
      <c r="N1360" t="n">
        <v>0</v>
      </c>
      <c r="O1360" t="n">
        <v>0</v>
      </c>
      <c r="P1360" t="n">
        <v>0</v>
      </c>
      <c r="Q1360" t="n">
        <v>0</v>
      </c>
      <c r="R1360" s="2" t="inlineStr"/>
    </row>
    <row r="1361" ht="15" customHeight="1">
      <c r="A1361" t="inlineStr">
        <is>
          <t>A 26119-2019</t>
        </is>
      </c>
      <c r="B1361" s="1" t="n">
        <v>43609</v>
      </c>
      <c r="C1361" s="1" t="n">
        <v>45210</v>
      </c>
      <c r="D1361" t="inlineStr">
        <is>
          <t>DALARNAS LÄN</t>
        </is>
      </c>
      <c r="E1361" t="inlineStr">
        <is>
          <t>ORSA</t>
        </is>
      </c>
      <c r="F1361" t="inlineStr">
        <is>
          <t>Allmännings- och besparingsskogar</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26162-2019</t>
        </is>
      </c>
      <c r="B1362" s="1" t="n">
        <v>43609</v>
      </c>
      <c r="C1362" s="1" t="n">
        <v>45210</v>
      </c>
      <c r="D1362" t="inlineStr">
        <is>
          <t>DALARNAS LÄN</t>
        </is>
      </c>
      <c r="E1362" t="inlineStr">
        <is>
          <t>HEDEMORA</t>
        </is>
      </c>
      <c r="F1362" t="inlineStr">
        <is>
          <t>Sveaskog</t>
        </is>
      </c>
      <c r="G1362" t="n">
        <v>12.8</v>
      </c>
      <c r="H1362" t="n">
        <v>0</v>
      </c>
      <c r="I1362" t="n">
        <v>0</v>
      </c>
      <c r="J1362" t="n">
        <v>0</v>
      </c>
      <c r="K1362" t="n">
        <v>0</v>
      </c>
      <c r="L1362" t="n">
        <v>0</v>
      </c>
      <c r="M1362" t="n">
        <v>0</v>
      </c>
      <c r="N1362" t="n">
        <v>0</v>
      </c>
      <c r="O1362" t="n">
        <v>0</v>
      </c>
      <c r="P1362" t="n">
        <v>0</v>
      </c>
      <c r="Q1362" t="n">
        <v>0</v>
      </c>
      <c r="R1362" s="2" t="inlineStr"/>
    </row>
    <row r="1363" ht="15" customHeight="1">
      <c r="A1363" t="inlineStr">
        <is>
          <t>A 26167-2019</t>
        </is>
      </c>
      <c r="B1363" s="1" t="n">
        <v>43609</v>
      </c>
      <c r="C1363" s="1" t="n">
        <v>45210</v>
      </c>
      <c r="D1363" t="inlineStr">
        <is>
          <t>DALARNAS LÄN</t>
        </is>
      </c>
      <c r="E1363" t="inlineStr">
        <is>
          <t>HEDEMORA</t>
        </is>
      </c>
      <c r="F1363" t="inlineStr">
        <is>
          <t>Sveaskog</t>
        </is>
      </c>
      <c r="G1363" t="n">
        <v>7</v>
      </c>
      <c r="H1363" t="n">
        <v>0</v>
      </c>
      <c r="I1363" t="n">
        <v>0</v>
      </c>
      <c r="J1363" t="n">
        <v>0</v>
      </c>
      <c r="K1363" t="n">
        <v>0</v>
      </c>
      <c r="L1363" t="n">
        <v>0</v>
      </c>
      <c r="M1363" t="n">
        <v>0</v>
      </c>
      <c r="N1363" t="n">
        <v>0</v>
      </c>
      <c r="O1363" t="n">
        <v>0</v>
      </c>
      <c r="P1363" t="n">
        <v>0</v>
      </c>
      <c r="Q1363" t="n">
        <v>0</v>
      </c>
      <c r="R1363" s="2" t="inlineStr"/>
    </row>
    <row r="1364" ht="15" customHeight="1">
      <c r="A1364" t="inlineStr">
        <is>
          <t>A 26127-2019</t>
        </is>
      </c>
      <c r="B1364" s="1" t="n">
        <v>43609</v>
      </c>
      <c r="C1364" s="1" t="n">
        <v>45210</v>
      </c>
      <c r="D1364" t="inlineStr">
        <is>
          <t>DALARNAS LÄN</t>
        </is>
      </c>
      <c r="E1364" t="inlineStr">
        <is>
          <t>ÄLVDALEN</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26136-2019</t>
        </is>
      </c>
      <c r="B1365" s="1" t="n">
        <v>43609</v>
      </c>
      <c r="C1365" s="1" t="n">
        <v>45210</v>
      </c>
      <c r="D1365" t="inlineStr">
        <is>
          <t>DALARNAS LÄN</t>
        </is>
      </c>
      <c r="E1365" t="inlineStr">
        <is>
          <t>MALUNG-SÄLEN</t>
        </is>
      </c>
      <c r="F1365" t="inlineStr">
        <is>
          <t>Bergvik skog väst AB</t>
        </is>
      </c>
      <c r="G1365" t="n">
        <v>5.7</v>
      </c>
      <c r="H1365" t="n">
        <v>0</v>
      </c>
      <c r="I1365" t="n">
        <v>0</v>
      </c>
      <c r="J1365" t="n">
        <v>0</v>
      </c>
      <c r="K1365" t="n">
        <v>0</v>
      </c>
      <c r="L1365" t="n">
        <v>0</v>
      </c>
      <c r="M1365" t="n">
        <v>0</v>
      </c>
      <c r="N1365" t="n">
        <v>0</v>
      </c>
      <c r="O1365" t="n">
        <v>0</v>
      </c>
      <c r="P1365" t="n">
        <v>0</v>
      </c>
      <c r="Q1365" t="n">
        <v>0</v>
      </c>
      <c r="R1365" s="2" t="inlineStr"/>
    </row>
    <row r="1366" ht="15" customHeight="1">
      <c r="A1366" t="inlineStr">
        <is>
          <t>A 26164-2019</t>
        </is>
      </c>
      <c r="B1366" s="1" t="n">
        <v>43609</v>
      </c>
      <c r="C1366" s="1" t="n">
        <v>45210</v>
      </c>
      <c r="D1366" t="inlineStr">
        <is>
          <t>DALARNAS LÄN</t>
        </is>
      </c>
      <c r="E1366" t="inlineStr">
        <is>
          <t>ÄLVDALEN</t>
        </is>
      </c>
      <c r="F1366" t="inlineStr">
        <is>
          <t>Kommuner</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26973-2019</t>
        </is>
      </c>
      <c r="B1367" s="1" t="n">
        <v>43609</v>
      </c>
      <c r="C1367" s="1" t="n">
        <v>45210</v>
      </c>
      <c r="D1367" t="inlineStr">
        <is>
          <t>DALARNAS LÄN</t>
        </is>
      </c>
      <c r="E1367" t="inlineStr">
        <is>
          <t>RÄTTVIK</t>
        </is>
      </c>
      <c r="G1367" t="n">
        <v>4.3</v>
      </c>
      <c r="H1367" t="n">
        <v>0</v>
      </c>
      <c r="I1367" t="n">
        <v>0</v>
      </c>
      <c r="J1367" t="n">
        <v>0</v>
      </c>
      <c r="K1367" t="n">
        <v>0</v>
      </c>
      <c r="L1367" t="n">
        <v>0</v>
      </c>
      <c r="M1367" t="n">
        <v>0</v>
      </c>
      <c r="N1367" t="n">
        <v>0</v>
      </c>
      <c r="O1367" t="n">
        <v>0</v>
      </c>
      <c r="P1367" t="n">
        <v>0</v>
      </c>
      <c r="Q1367" t="n">
        <v>0</v>
      </c>
      <c r="R1367" s="2" t="inlineStr"/>
    </row>
    <row r="1368" ht="15" customHeight="1">
      <c r="A1368" t="inlineStr">
        <is>
          <t>A 27077-2019</t>
        </is>
      </c>
      <c r="B1368" s="1" t="n">
        <v>43609</v>
      </c>
      <c r="C1368" s="1" t="n">
        <v>45210</v>
      </c>
      <c r="D1368" t="inlineStr">
        <is>
          <t>DALARNAS LÄN</t>
        </is>
      </c>
      <c r="E1368" t="inlineStr">
        <is>
          <t>ÄLVDALEN</t>
        </is>
      </c>
      <c r="G1368" t="n">
        <v>7.4</v>
      </c>
      <c r="H1368" t="n">
        <v>0</v>
      </c>
      <c r="I1368" t="n">
        <v>0</v>
      </c>
      <c r="J1368" t="n">
        <v>0</v>
      </c>
      <c r="K1368" t="n">
        <v>0</v>
      </c>
      <c r="L1368" t="n">
        <v>0</v>
      </c>
      <c r="M1368" t="n">
        <v>0</v>
      </c>
      <c r="N1368" t="n">
        <v>0</v>
      </c>
      <c r="O1368" t="n">
        <v>0</v>
      </c>
      <c r="P1368" t="n">
        <v>0</v>
      </c>
      <c r="Q1368" t="n">
        <v>0</v>
      </c>
      <c r="R1368" s="2" t="inlineStr"/>
    </row>
    <row r="1369" ht="15" customHeight="1">
      <c r="A1369" t="inlineStr">
        <is>
          <t>A 26259-2019</t>
        </is>
      </c>
      <c r="B1369" s="1" t="n">
        <v>43610</v>
      </c>
      <c r="C1369" s="1" t="n">
        <v>45210</v>
      </c>
      <c r="D1369" t="inlineStr">
        <is>
          <t>DALARNAS LÄN</t>
        </is>
      </c>
      <c r="E1369" t="inlineStr">
        <is>
          <t>MALUNG-SÄLEN</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26258-2019</t>
        </is>
      </c>
      <c r="B1370" s="1" t="n">
        <v>43610</v>
      </c>
      <c r="C1370" s="1" t="n">
        <v>45210</v>
      </c>
      <c r="D1370" t="inlineStr">
        <is>
          <t>DALARNAS LÄN</t>
        </is>
      </c>
      <c r="E1370" t="inlineStr">
        <is>
          <t>MALUNG-SÄLEN</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27188-2019</t>
        </is>
      </c>
      <c r="B1371" s="1" t="n">
        <v>43612</v>
      </c>
      <c r="C1371" s="1" t="n">
        <v>45210</v>
      </c>
      <c r="D1371" t="inlineStr">
        <is>
          <t>DALARNAS LÄN</t>
        </is>
      </c>
      <c r="E1371" t="inlineStr">
        <is>
          <t>RÄTTVIK</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27959-2019</t>
        </is>
      </c>
      <c r="B1372" s="1" t="n">
        <v>43612</v>
      </c>
      <c r="C1372" s="1" t="n">
        <v>45210</v>
      </c>
      <c r="D1372" t="inlineStr">
        <is>
          <t>DALARNAS LÄN</t>
        </is>
      </c>
      <c r="E1372" t="inlineStr">
        <is>
          <t>RÄTTVIK</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26524-2019</t>
        </is>
      </c>
      <c r="B1373" s="1" t="n">
        <v>43612</v>
      </c>
      <c r="C1373" s="1" t="n">
        <v>45210</v>
      </c>
      <c r="D1373" t="inlineStr">
        <is>
          <t>DALARNAS LÄN</t>
        </is>
      </c>
      <c r="E1373" t="inlineStr">
        <is>
          <t>FALUN</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26591-2019</t>
        </is>
      </c>
      <c r="B1374" s="1" t="n">
        <v>43612</v>
      </c>
      <c r="C1374" s="1" t="n">
        <v>45210</v>
      </c>
      <c r="D1374" t="inlineStr">
        <is>
          <t>DALARNAS LÄN</t>
        </is>
      </c>
      <c r="E1374" t="inlineStr">
        <is>
          <t>GAGNEF</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26619-2019</t>
        </is>
      </c>
      <c r="B1375" s="1" t="n">
        <v>43612</v>
      </c>
      <c r="C1375" s="1" t="n">
        <v>45210</v>
      </c>
      <c r="D1375" t="inlineStr">
        <is>
          <t>DALARNAS LÄN</t>
        </is>
      </c>
      <c r="E1375" t="inlineStr">
        <is>
          <t>FALUN</t>
        </is>
      </c>
      <c r="G1375" t="n">
        <v>10.9</v>
      </c>
      <c r="H1375" t="n">
        <v>0</v>
      </c>
      <c r="I1375" t="n">
        <v>0</v>
      </c>
      <c r="J1375" t="n">
        <v>0</v>
      </c>
      <c r="K1375" t="n">
        <v>0</v>
      </c>
      <c r="L1375" t="n">
        <v>0</v>
      </c>
      <c r="M1375" t="n">
        <v>0</v>
      </c>
      <c r="N1375" t="n">
        <v>0</v>
      </c>
      <c r="O1375" t="n">
        <v>0</v>
      </c>
      <c r="P1375" t="n">
        <v>0</v>
      </c>
      <c r="Q1375" t="n">
        <v>0</v>
      </c>
      <c r="R1375" s="2" t="inlineStr"/>
    </row>
    <row r="1376" ht="15" customHeight="1">
      <c r="A1376" t="inlineStr">
        <is>
          <t>A 26405-2019</t>
        </is>
      </c>
      <c r="B1376" s="1" t="n">
        <v>43612</v>
      </c>
      <c r="C1376" s="1" t="n">
        <v>45210</v>
      </c>
      <c r="D1376" t="inlineStr">
        <is>
          <t>DALARNAS LÄN</t>
        </is>
      </c>
      <c r="E1376" t="inlineStr">
        <is>
          <t>MORA</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27960-2019</t>
        </is>
      </c>
      <c r="B1377" s="1" t="n">
        <v>43612</v>
      </c>
      <c r="C1377" s="1" t="n">
        <v>45210</v>
      </c>
      <c r="D1377" t="inlineStr">
        <is>
          <t>DALARNAS LÄN</t>
        </is>
      </c>
      <c r="E1377" t="inlineStr">
        <is>
          <t>RÄTTVIK</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28917-2019</t>
        </is>
      </c>
      <c r="B1378" s="1" t="n">
        <v>43612</v>
      </c>
      <c r="C1378" s="1" t="n">
        <v>45210</v>
      </c>
      <c r="D1378" t="inlineStr">
        <is>
          <t>DALARNAS LÄN</t>
        </is>
      </c>
      <c r="E1378" t="inlineStr">
        <is>
          <t>MORA</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26342-2019</t>
        </is>
      </c>
      <c r="B1379" s="1" t="n">
        <v>43612</v>
      </c>
      <c r="C1379" s="1" t="n">
        <v>45210</v>
      </c>
      <c r="D1379" t="inlineStr">
        <is>
          <t>DALARNAS LÄN</t>
        </is>
      </c>
      <c r="E1379" t="inlineStr">
        <is>
          <t>FALUN</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26504-2019</t>
        </is>
      </c>
      <c r="B1380" s="1" t="n">
        <v>43612</v>
      </c>
      <c r="C1380" s="1" t="n">
        <v>45210</v>
      </c>
      <c r="D1380" t="inlineStr">
        <is>
          <t>DALARNAS LÄN</t>
        </is>
      </c>
      <c r="E1380" t="inlineStr">
        <is>
          <t>FALUN</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26680-2019</t>
        </is>
      </c>
      <c r="B1381" s="1" t="n">
        <v>43613</v>
      </c>
      <c r="C1381" s="1" t="n">
        <v>45210</v>
      </c>
      <c r="D1381" t="inlineStr">
        <is>
          <t>DALARNAS LÄN</t>
        </is>
      </c>
      <c r="E1381" t="inlineStr">
        <is>
          <t>FALUN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26692-2019</t>
        </is>
      </c>
      <c r="B1382" s="1" t="n">
        <v>43613</v>
      </c>
      <c r="C1382" s="1" t="n">
        <v>45210</v>
      </c>
      <c r="D1382" t="inlineStr">
        <is>
          <t>DALARNAS LÄN</t>
        </is>
      </c>
      <c r="E1382" t="inlineStr">
        <is>
          <t>VANSBRO</t>
        </is>
      </c>
      <c r="F1382" t="inlineStr">
        <is>
          <t>Bergvik skog väst AB</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26910-2019</t>
        </is>
      </c>
      <c r="B1383" s="1" t="n">
        <v>43613</v>
      </c>
      <c r="C1383" s="1" t="n">
        <v>45210</v>
      </c>
      <c r="D1383" t="inlineStr">
        <is>
          <t>DALARNAS LÄN</t>
        </is>
      </c>
      <c r="E1383" t="inlineStr">
        <is>
          <t>ÄLVDALEN</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26874-2019</t>
        </is>
      </c>
      <c r="B1384" s="1" t="n">
        <v>43613</v>
      </c>
      <c r="C1384" s="1" t="n">
        <v>45210</v>
      </c>
      <c r="D1384" t="inlineStr">
        <is>
          <t>DALARNAS LÄN</t>
        </is>
      </c>
      <c r="E1384" t="inlineStr">
        <is>
          <t>BORLÄNGE</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27037-2019</t>
        </is>
      </c>
      <c r="B1385" s="1" t="n">
        <v>43614</v>
      </c>
      <c r="C1385" s="1" t="n">
        <v>45210</v>
      </c>
      <c r="D1385" t="inlineStr">
        <is>
          <t>DALARNAS LÄN</t>
        </is>
      </c>
      <c r="E1385" t="inlineStr">
        <is>
          <t>MALUNG-SÄLEN</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27207-2019</t>
        </is>
      </c>
      <c r="B1386" s="1" t="n">
        <v>43614</v>
      </c>
      <c r="C1386" s="1" t="n">
        <v>45210</v>
      </c>
      <c r="D1386" t="inlineStr">
        <is>
          <t>DALARNAS LÄN</t>
        </is>
      </c>
      <c r="E1386" t="inlineStr">
        <is>
          <t>SÄTER</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28708-2019</t>
        </is>
      </c>
      <c r="B1387" s="1" t="n">
        <v>43614</v>
      </c>
      <c r="C1387" s="1" t="n">
        <v>45210</v>
      </c>
      <c r="D1387" t="inlineStr">
        <is>
          <t>DALARNAS LÄN</t>
        </is>
      </c>
      <c r="E1387" t="inlineStr">
        <is>
          <t>VANSBRO</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27009-2019</t>
        </is>
      </c>
      <c r="B1388" s="1" t="n">
        <v>43614</v>
      </c>
      <c r="C1388" s="1" t="n">
        <v>45210</v>
      </c>
      <c r="D1388" t="inlineStr">
        <is>
          <t>DALARNAS LÄN</t>
        </is>
      </c>
      <c r="E1388" t="inlineStr">
        <is>
          <t>BORLÄNGE</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28701-2019</t>
        </is>
      </c>
      <c r="B1389" s="1" t="n">
        <v>43614</v>
      </c>
      <c r="C1389" s="1" t="n">
        <v>45210</v>
      </c>
      <c r="D1389" t="inlineStr">
        <is>
          <t>DALARNAS LÄN</t>
        </is>
      </c>
      <c r="E1389" t="inlineStr">
        <is>
          <t>VANSBRO</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27005-2019</t>
        </is>
      </c>
      <c r="B1390" s="1" t="n">
        <v>43614</v>
      </c>
      <c r="C1390" s="1" t="n">
        <v>45210</v>
      </c>
      <c r="D1390" t="inlineStr">
        <is>
          <t>DALARNAS LÄN</t>
        </is>
      </c>
      <c r="E1390" t="inlineStr">
        <is>
          <t>LUDVIKA</t>
        </is>
      </c>
      <c r="F1390" t="inlineStr">
        <is>
          <t>Bergvik skog väst AB</t>
        </is>
      </c>
      <c r="G1390" t="n">
        <v>22.4</v>
      </c>
      <c r="H1390" t="n">
        <v>0</v>
      </c>
      <c r="I1390" t="n">
        <v>0</v>
      </c>
      <c r="J1390" t="n">
        <v>0</v>
      </c>
      <c r="K1390" t="n">
        <v>0</v>
      </c>
      <c r="L1390" t="n">
        <v>0</v>
      </c>
      <c r="M1390" t="n">
        <v>0</v>
      </c>
      <c r="N1390" t="n">
        <v>0</v>
      </c>
      <c r="O1390" t="n">
        <v>0</v>
      </c>
      <c r="P1390" t="n">
        <v>0</v>
      </c>
      <c r="Q1390" t="n">
        <v>0</v>
      </c>
      <c r="R1390" s="2" t="inlineStr"/>
    </row>
    <row r="1391" ht="15" customHeight="1">
      <c r="A1391" t="inlineStr">
        <is>
          <t>A 27048-2019</t>
        </is>
      </c>
      <c r="B1391" s="1" t="n">
        <v>43614</v>
      </c>
      <c r="C1391" s="1" t="n">
        <v>45210</v>
      </c>
      <c r="D1391" t="inlineStr">
        <is>
          <t>DALARNAS LÄN</t>
        </is>
      </c>
      <c r="E1391" t="inlineStr">
        <is>
          <t>MALUNG-SÄLEN</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27062-2019</t>
        </is>
      </c>
      <c r="B1392" s="1" t="n">
        <v>43614</v>
      </c>
      <c r="C1392" s="1" t="n">
        <v>45210</v>
      </c>
      <c r="D1392" t="inlineStr">
        <is>
          <t>DALARNAS LÄN</t>
        </is>
      </c>
      <c r="E1392" t="inlineStr">
        <is>
          <t>BORLÄNGE</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27008-2019</t>
        </is>
      </c>
      <c r="B1393" s="1" t="n">
        <v>43614</v>
      </c>
      <c r="C1393" s="1" t="n">
        <v>45210</v>
      </c>
      <c r="D1393" t="inlineStr">
        <is>
          <t>DALARNAS LÄN</t>
        </is>
      </c>
      <c r="E1393" t="inlineStr">
        <is>
          <t>BORLÄNGE</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27039-2019</t>
        </is>
      </c>
      <c r="B1394" s="1" t="n">
        <v>43614</v>
      </c>
      <c r="C1394" s="1" t="n">
        <v>45210</v>
      </c>
      <c r="D1394" t="inlineStr">
        <is>
          <t>DALARNAS LÄN</t>
        </is>
      </c>
      <c r="E1394" t="inlineStr">
        <is>
          <t>MALUNG-SÄLEN</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27278-2019</t>
        </is>
      </c>
      <c r="B1395" s="1" t="n">
        <v>43615</v>
      </c>
      <c r="C1395" s="1" t="n">
        <v>45210</v>
      </c>
      <c r="D1395" t="inlineStr">
        <is>
          <t>DALARNAS LÄN</t>
        </is>
      </c>
      <c r="E1395" t="inlineStr">
        <is>
          <t>FALUN</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28870-2019</t>
        </is>
      </c>
      <c r="B1396" s="1" t="n">
        <v>43616</v>
      </c>
      <c r="C1396" s="1" t="n">
        <v>45210</v>
      </c>
      <c r="D1396" t="inlineStr">
        <is>
          <t>DALARNAS LÄN</t>
        </is>
      </c>
      <c r="E1396" t="inlineStr">
        <is>
          <t>RÄTTVIK</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27351-2019</t>
        </is>
      </c>
      <c r="B1397" s="1" t="n">
        <v>43616</v>
      </c>
      <c r="C1397" s="1" t="n">
        <v>45210</v>
      </c>
      <c r="D1397" t="inlineStr">
        <is>
          <t>DALARNAS LÄN</t>
        </is>
      </c>
      <c r="E1397" t="inlineStr">
        <is>
          <t>SMEDJEBACKEN</t>
        </is>
      </c>
      <c r="F1397" t="inlineStr">
        <is>
          <t>Sveaskog</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27352-2019</t>
        </is>
      </c>
      <c r="B1398" s="1" t="n">
        <v>43616</v>
      </c>
      <c r="C1398" s="1" t="n">
        <v>45210</v>
      </c>
      <c r="D1398" t="inlineStr">
        <is>
          <t>DALARNAS LÄN</t>
        </is>
      </c>
      <c r="E1398" t="inlineStr">
        <is>
          <t>SMEDJEBACKEN</t>
        </is>
      </c>
      <c r="F1398" t="inlineStr">
        <is>
          <t>Sveaskog</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27393-2019</t>
        </is>
      </c>
      <c r="B1399" s="1" t="n">
        <v>43616</v>
      </c>
      <c r="C1399" s="1" t="n">
        <v>45210</v>
      </c>
      <c r="D1399" t="inlineStr">
        <is>
          <t>DALARNAS LÄN</t>
        </is>
      </c>
      <c r="E1399" t="inlineStr">
        <is>
          <t>HEDEMORA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27354-2019</t>
        </is>
      </c>
      <c r="B1400" s="1" t="n">
        <v>43616</v>
      </c>
      <c r="C1400" s="1" t="n">
        <v>45210</v>
      </c>
      <c r="D1400" t="inlineStr">
        <is>
          <t>DALARNAS LÄN</t>
        </is>
      </c>
      <c r="E1400" t="inlineStr">
        <is>
          <t>SMEDJEBACKEN</t>
        </is>
      </c>
      <c r="F1400" t="inlineStr">
        <is>
          <t>Sveaskog</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27376-2019</t>
        </is>
      </c>
      <c r="B1401" s="1" t="n">
        <v>43616</v>
      </c>
      <c r="C1401" s="1" t="n">
        <v>45210</v>
      </c>
      <c r="D1401" t="inlineStr">
        <is>
          <t>DALARNAS LÄN</t>
        </is>
      </c>
      <c r="E1401" t="inlineStr">
        <is>
          <t>SÄTER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27312-2019</t>
        </is>
      </c>
      <c r="B1402" s="1" t="n">
        <v>43616</v>
      </c>
      <c r="C1402" s="1" t="n">
        <v>45210</v>
      </c>
      <c r="D1402" t="inlineStr">
        <is>
          <t>DALARNAS LÄN</t>
        </is>
      </c>
      <c r="E1402" t="inlineStr">
        <is>
          <t>AVESTA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27345-2019</t>
        </is>
      </c>
      <c r="B1403" s="1" t="n">
        <v>43616</v>
      </c>
      <c r="C1403" s="1" t="n">
        <v>45210</v>
      </c>
      <c r="D1403" t="inlineStr">
        <is>
          <t>DALARNAS LÄN</t>
        </is>
      </c>
      <c r="E1403" t="inlineStr">
        <is>
          <t>SMEDJEBACKEN</t>
        </is>
      </c>
      <c r="F1403" t="inlineStr">
        <is>
          <t>Sveaskog</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27487-2019</t>
        </is>
      </c>
      <c r="B1404" s="1" t="n">
        <v>43619</v>
      </c>
      <c r="C1404" s="1" t="n">
        <v>45210</v>
      </c>
      <c r="D1404" t="inlineStr">
        <is>
          <t>DALARNAS LÄN</t>
        </is>
      </c>
      <c r="E1404" t="inlineStr">
        <is>
          <t>MALUNG-SÄLEN</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27539-2019</t>
        </is>
      </c>
      <c r="B1405" s="1" t="n">
        <v>43619</v>
      </c>
      <c r="C1405" s="1" t="n">
        <v>45210</v>
      </c>
      <c r="D1405" t="inlineStr">
        <is>
          <t>DALARNAS LÄN</t>
        </is>
      </c>
      <c r="E1405" t="inlineStr">
        <is>
          <t>VANSBRO</t>
        </is>
      </c>
      <c r="F1405" t="inlineStr">
        <is>
          <t>Bergvik skog väst AB</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27722-2019</t>
        </is>
      </c>
      <c r="B1406" s="1" t="n">
        <v>43619</v>
      </c>
      <c r="C1406" s="1" t="n">
        <v>45210</v>
      </c>
      <c r="D1406" t="inlineStr">
        <is>
          <t>DALARNAS LÄN</t>
        </is>
      </c>
      <c r="E1406" t="inlineStr">
        <is>
          <t>RÄTTVIK</t>
        </is>
      </c>
      <c r="F1406" t="inlineStr">
        <is>
          <t>Bergvik skog väst AB</t>
        </is>
      </c>
      <c r="G1406" t="n">
        <v>4</v>
      </c>
      <c r="H1406" t="n">
        <v>0</v>
      </c>
      <c r="I1406" t="n">
        <v>0</v>
      </c>
      <c r="J1406" t="n">
        <v>0</v>
      </c>
      <c r="K1406" t="n">
        <v>0</v>
      </c>
      <c r="L1406" t="n">
        <v>0</v>
      </c>
      <c r="M1406" t="n">
        <v>0</v>
      </c>
      <c r="N1406" t="n">
        <v>0</v>
      </c>
      <c r="O1406" t="n">
        <v>0</v>
      </c>
      <c r="P1406" t="n">
        <v>0</v>
      </c>
      <c r="Q1406" t="n">
        <v>0</v>
      </c>
      <c r="R1406" s="2" t="inlineStr"/>
    </row>
    <row r="1407" ht="15" customHeight="1">
      <c r="A1407" t="inlineStr">
        <is>
          <t>A 28924-2019</t>
        </is>
      </c>
      <c r="B1407" s="1" t="n">
        <v>43619</v>
      </c>
      <c r="C1407" s="1" t="n">
        <v>45210</v>
      </c>
      <c r="D1407" t="inlineStr">
        <is>
          <t>DALARNAS LÄN</t>
        </is>
      </c>
      <c r="E1407" t="inlineStr">
        <is>
          <t>GAGNEF</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27662-2019</t>
        </is>
      </c>
      <c r="B1408" s="1" t="n">
        <v>43619</v>
      </c>
      <c r="C1408" s="1" t="n">
        <v>45210</v>
      </c>
      <c r="D1408" t="inlineStr">
        <is>
          <t>DALARNAS LÄN</t>
        </is>
      </c>
      <c r="E1408" t="inlineStr">
        <is>
          <t>FALUN</t>
        </is>
      </c>
      <c r="G1408" t="n">
        <v>6.1</v>
      </c>
      <c r="H1408" t="n">
        <v>0</v>
      </c>
      <c r="I1408" t="n">
        <v>0</v>
      </c>
      <c r="J1408" t="n">
        <v>0</v>
      </c>
      <c r="K1408" t="n">
        <v>0</v>
      </c>
      <c r="L1408" t="n">
        <v>0</v>
      </c>
      <c r="M1408" t="n">
        <v>0</v>
      </c>
      <c r="N1408" t="n">
        <v>0</v>
      </c>
      <c r="O1408" t="n">
        <v>0</v>
      </c>
      <c r="P1408" t="n">
        <v>0</v>
      </c>
      <c r="Q1408" t="n">
        <v>0</v>
      </c>
      <c r="R1408" s="2" t="inlineStr"/>
    </row>
    <row r="1409" ht="15" customHeight="1">
      <c r="A1409" t="inlineStr">
        <is>
          <t>A 27720-2019</t>
        </is>
      </c>
      <c r="B1409" s="1" t="n">
        <v>43619</v>
      </c>
      <c r="C1409" s="1" t="n">
        <v>45210</v>
      </c>
      <c r="D1409" t="inlineStr">
        <is>
          <t>DALARNAS LÄN</t>
        </is>
      </c>
      <c r="E1409" t="inlineStr">
        <is>
          <t>ÄLVDALEN</t>
        </is>
      </c>
      <c r="F1409" t="inlineStr">
        <is>
          <t>Bergvik skog väst AB</t>
        </is>
      </c>
      <c r="G1409" t="n">
        <v>12.4</v>
      </c>
      <c r="H1409" t="n">
        <v>0</v>
      </c>
      <c r="I1409" t="n">
        <v>0</v>
      </c>
      <c r="J1409" t="n">
        <v>0</v>
      </c>
      <c r="K1409" t="n">
        <v>0</v>
      </c>
      <c r="L1409" t="n">
        <v>0</v>
      </c>
      <c r="M1409" t="n">
        <v>0</v>
      </c>
      <c r="N1409" t="n">
        <v>0</v>
      </c>
      <c r="O1409" t="n">
        <v>0</v>
      </c>
      <c r="P1409" t="n">
        <v>0</v>
      </c>
      <c r="Q1409" t="n">
        <v>0</v>
      </c>
      <c r="R1409" s="2" t="inlineStr"/>
    </row>
    <row r="1410" ht="15" customHeight="1">
      <c r="A1410" t="inlineStr">
        <is>
          <t>A 27655-2019</t>
        </is>
      </c>
      <c r="B1410" s="1" t="n">
        <v>43619</v>
      </c>
      <c r="C1410" s="1" t="n">
        <v>45210</v>
      </c>
      <c r="D1410" t="inlineStr">
        <is>
          <t>DALARNAS LÄN</t>
        </is>
      </c>
      <c r="E1410" t="inlineStr">
        <is>
          <t>ORSA</t>
        </is>
      </c>
      <c r="F1410" t="inlineStr">
        <is>
          <t>Bergvik skog öst AB</t>
        </is>
      </c>
      <c r="G1410" t="n">
        <v>26.9</v>
      </c>
      <c r="H1410" t="n">
        <v>0</v>
      </c>
      <c r="I1410" t="n">
        <v>0</v>
      </c>
      <c r="J1410" t="n">
        <v>0</v>
      </c>
      <c r="K1410" t="n">
        <v>0</v>
      </c>
      <c r="L1410" t="n">
        <v>0</v>
      </c>
      <c r="M1410" t="n">
        <v>0</v>
      </c>
      <c r="N1410" t="n">
        <v>0</v>
      </c>
      <c r="O1410" t="n">
        <v>0</v>
      </c>
      <c r="P1410" t="n">
        <v>0</v>
      </c>
      <c r="Q1410" t="n">
        <v>0</v>
      </c>
      <c r="R1410" s="2" t="inlineStr"/>
    </row>
    <row r="1411" ht="15" customHeight="1">
      <c r="A1411" t="inlineStr">
        <is>
          <t>A 27699-2019</t>
        </is>
      </c>
      <c r="B1411" s="1" t="n">
        <v>43619</v>
      </c>
      <c r="C1411" s="1" t="n">
        <v>45210</v>
      </c>
      <c r="D1411" t="inlineStr">
        <is>
          <t>DALARNAS LÄN</t>
        </is>
      </c>
      <c r="E1411" t="inlineStr">
        <is>
          <t>FALUN</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27949-2019</t>
        </is>
      </c>
      <c r="B1412" s="1" t="n">
        <v>43620</v>
      </c>
      <c r="C1412" s="1" t="n">
        <v>45210</v>
      </c>
      <c r="D1412" t="inlineStr">
        <is>
          <t>DALARNAS LÄN</t>
        </is>
      </c>
      <c r="E1412" t="inlineStr">
        <is>
          <t>HEDEMORA</t>
        </is>
      </c>
      <c r="F1412" t="inlineStr">
        <is>
          <t>Sveaskog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28001-2019</t>
        </is>
      </c>
      <c r="B1413" s="1" t="n">
        <v>43621</v>
      </c>
      <c r="C1413" s="1" t="n">
        <v>45210</v>
      </c>
      <c r="D1413" t="inlineStr">
        <is>
          <t>DALARNAS LÄN</t>
        </is>
      </c>
      <c r="E1413" t="inlineStr">
        <is>
          <t>GAGNEF</t>
        </is>
      </c>
      <c r="G1413" t="n">
        <v>3.5</v>
      </c>
      <c r="H1413" t="n">
        <v>0</v>
      </c>
      <c r="I1413" t="n">
        <v>0</v>
      </c>
      <c r="J1413" t="n">
        <v>0</v>
      </c>
      <c r="K1413" t="n">
        <v>0</v>
      </c>
      <c r="L1413" t="n">
        <v>0</v>
      </c>
      <c r="M1413" t="n">
        <v>0</v>
      </c>
      <c r="N1413" t="n">
        <v>0</v>
      </c>
      <c r="O1413" t="n">
        <v>0</v>
      </c>
      <c r="P1413" t="n">
        <v>0</v>
      </c>
      <c r="Q1413" t="n">
        <v>0</v>
      </c>
      <c r="R1413" s="2" t="inlineStr"/>
    </row>
    <row r="1414" ht="15" customHeight="1">
      <c r="A1414" t="inlineStr">
        <is>
          <t>A 29022-2019</t>
        </is>
      </c>
      <c r="B1414" s="1" t="n">
        <v>43621</v>
      </c>
      <c r="C1414" s="1" t="n">
        <v>45210</v>
      </c>
      <c r="D1414" t="inlineStr">
        <is>
          <t>DALARNAS LÄN</t>
        </is>
      </c>
      <c r="E1414" t="inlineStr">
        <is>
          <t>RÄTTVIK</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28259-2019</t>
        </is>
      </c>
      <c r="B1415" s="1" t="n">
        <v>43623</v>
      </c>
      <c r="C1415" s="1" t="n">
        <v>45210</v>
      </c>
      <c r="D1415" t="inlineStr">
        <is>
          <t>DALARNAS LÄN</t>
        </is>
      </c>
      <c r="E1415" t="inlineStr">
        <is>
          <t>MALUNG-SÄLEN</t>
        </is>
      </c>
      <c r="G1415" t="n">
        <v>2.1</v>
      </c>
      <c r="H1415" t="n">
        <v>0</v>
      </c>
      <c r="I1415" t="n">
        <v>0</v>
      </c>
      <c r="J1415" t="n">
        <v>0</v>
      </c>
      <c r="K1415" t="n">
        <v>0</v>
      </c>
      <c r="L1415" t="n">
        <v>0</v>
      </c>
      <c r="M1415" t="n">
        <v>0</v>
      </c>
      <c r="N1415" t="n">
        <v>0</v>
      </c>
      <c r="O1415" t="n">
        <v>0</v>
      </c>
      <c r="P1415" t="n">
        <v>0</v>
      </c>
      <c r="Q1415" t="n">
        <v>0</v>
      </c>
      <c r="R1415" s="2" t="inlineStr"/>
    </row>
    <row r="1416" ht="15" customHeight="1">
      <c r="A1416" t="inlineStr">
        <is>
          <t>A 29231-2019</t>
        </is>
      </c>
      <c r="B1416" s="1" t="n">
        <v>43623</v>
      </c>
      <c r="C1416" s="1" t="n">
        <v>45210</v>
      </c>
      <c r="D1416" t="inlineStr">
        <is>
          <t>DALARNAS LÄN</t>
        </is>
      </c>
      <c r="E1416" t="inlineStr">
        <is>
          <t>MORA</t>
        </is>
      </c>
      <c r="G1416" t="n">
        <v>24.2</v>
      </c>
      <c r="H1416" t="n">
        <v>0</v>
      </c>
      <c r="I1416" t="n">
        <v>0</v>
      </c>
      <c r="J1416" t="n">
        <v>0</v>
      </c>
      <c r="K1416" t="n">
        <v>0</v>
      </c>
      <c r="L1416" t="n">
        <v>0</v>
      </c>
      <c r="M1416" t="n">
        <v>0</v>
      </c>
      <c r="N1416" t="n">
        <v>0</v>
      </c>
      <c r="O1416" t="n">
        <v>0</v>
      </c>
      <c r="P1416" t="n">
        <v>0</v>
      </c>
      <c r="Q1416" t="n">
        <v>0</v>
      </c>
      <c r="R1416" s="2" t="inlineStr"/>
    </row>
    <row r="1417" ht="15" customHeight="1">
      <c r="A1417" t="inlineStr">
        <is>
          <t>A 29200-2019</t>
        </is>
      </c>
      <c r="B1417" s="1" t="n">
        <v>43623</v>
      </c>
      <c r="C1417" s="1" t="n">
        <v>45210</v>
      </c>
      <c r="D1417" t="inlineStr">
        <is>
          <t>DALARNAS LÄN</t>
        </is>
      </c>
      <c r="E1417" t="inlineStr">
        <is>
          <t>RÄTTVIK</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28350-2019</t>
        </is>
      </c>
      <c r="B1418" s="1" t="n">
        <v>43624</v>
      </c>
      <c r="C1418" s="1" t="n">
        <v>45210</v>
      </c>
      <c r="D1418" t="inlineStr">
        <is>
          <t>DALARNAS LÄN</t>
        </is>
      </c>
      <c r="E1418" t="inlineStr">
        <is>
          <t>ÄLVDALEN</t>
        </is>
      </c>
      <c r="G1418" t="n">
        <v>18.2</v>
      </c>
      <c r="H1418" t="n">
        <v>0</v>
      </c>
      <c r="I1418" t="n">
        <v>0</v>
      </c>
      <c r="J1418" t="n">
        <v>0</v>
      </c>
      <c r="K1418" t="n">
        <v>0</v>
      </c>
      <c r="L1418" t="n">
        <v>0</v>
      </c>
      <c r="M1418" t="n">
        <v>0</v>
      </c>
      <c r="N1418" t="n">
        <v>0</v>
      </c>
      <c r="O1418" t="n">
        <v>0</v>
      </c>
      <c r="P1418" t="n">
        <v>0</v>
      </c>
      <c r="Q1418" t="n">
        <v>0</v>
      </c>
      <c r="R1418" s="2" t="inlineStr"/>
    </row>
    <row r="1419" ht="15" customHeight="1">
      <c r="A1419" t="inlineStr">
        <is>
          <t>A 28514-2019</t>
        </is>
      </c>
      <c r="B1419" s="1" t="n">
        <v>43626</v>
      </c>
      <c r="C1419" s="1" t="n">
        <v>45210</v>
      </c>
      <c r="D1419" t="inlineStr">
        <is>
          <t>DALARNAS LÄN</t>
        </is>
      </c>
      <c r="E1419" t="inlineStr">
        <is>
          <t>AVESTA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28536-2019</t>
        </is>
      </c>
      <c r="B1420" s="1" t="n">
        <v>43626</v>
      </c>
      <c r="C1420" s="1" t="n">
        <v>45210</v>
      </c>
      <c r="D1420" t="inlineStr">
        <is>
          <t>DALARNAS LÄN</t>
        </is>
      </c>
      <c r="E1420" t="inlineStr">
        <is>
          <t>ÄLVDALEN</t>
        </is>
      </c>
      <c r="G1420" t="n">
        <v>6.4</v>
      </c>
      <c r="H1420" t="n">
        <v>0</v>
      </c>
      <c r="I1420" t="n">
        <v>0</v>
      </c>
      <c r="J1420" t="n">
        <v>0</v>
      </c>
      <c r="K1420" t="n">
        <v>0</v>
      </c>
      <c r="L1420" t="n">
        <v>0</v>
      </c>
      <c r="M1420" t="n">
        <v>0</v>
      </c>
      <c r="N1420" t="n">
        <v>0</v>
      </c>
      <c r="O1420" t="n">
        <v>0</v>
      </c>
      <c r="P1420" t="n">
        <v>0</v>
      </c>
      <c r="Q1420" t="n">
        <v>0</v>
      </c>
      <c r="R1420" s="2" t="inlineStr"/>
    </row>
    <row r="1421" ht="15" customHeight="1">
      <c r="A1421" t="inlineStr">
        <is>
          <t>A 28464-2019</t>
        </is>
      </c>
      <c r="B1421" s="1" t="n">
        <v>43626</v>
      </c>
      <c r="C1421" s="1" t="n">
        <v>45210</v>
      </c>
      <c r="D1421" t="inlineStr">
        <is>
          <t>DALARNAS LÄN</t>
        </is>
      </c>
      <c r="E1421" t="inlineStr">
        <is>
          <t>ORSA</t>
        </is>
      </c>
      <c r="F1421" t="inlineStr">
        <is>
          <t>Bergvik skog öst AB</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28549-2019</t>
        </is>
      </c>
      <c r="B1422" s="1" t="n">
        <v>43626</v>
      </c>
      <c r="C1422" s="1" t="n">
        <v>45210</v>
      </c>
      <c r="D1422" t="inlineStr">
        <is>
          <t>DALARNAS LÄN</t>
        </is>
      </c>
      <c r="E1422" t="inlineStr">
        <is>
          <t>ÄLVDALEN</t>
        </is>
      </c>
      <c r="G1422" t="n">
        <v>10.5</v>
      </c>
      <c r="H1422" t="n">
        <v>0</v>
      </c>
      <c r="I1422" t="n">
        <v>0</v>
      </c>
      <c r="J1422" t="n">
        <v>0</v>
      </c>
      <c r="K1422" t="n">
        <v>0</v>
      </c>
      <c r="L1422" t="n">
        <v>0</v>
      </c>
      <c r="M1422" t="n">
        <v>0</v>
      </c>
      <c r="N1422" t="n">
        <v>0</v>
      </c>
      <c r="O1422" t="n">
        <v>0</v>
      </c>
      <c r="P1422" t="n">
        <v>0</v>
      </c>
      <c r="Q1422" t="n">
        <v>0</v>
      </c>
      <c r="R1422" s="2" t="inlineStr"/>
    </row>
    <row r="1423" ht="15" customHeight="1">
      <c r="A1423" t="inlineStr">
        <is>
          <t>A 28544-2019</t>
        </is>
      </c>
      <c r="B1423" s="1" t="n">
        <v>43626</v>
      </c>
      <c r="C1423" s="1" t="n">
        <v>45210</v>
      </c>
      <c r="D1423" t="inlineStr">
        <is>
          <t>DALARNAS LÄN</t>
        </is>
      </c>
      <c r="E1423" t="inlineStr">
        <is>
          <t>ÄLVDALEN</t>
        </is>
      </c>
      <c r="G1423" t="n">
        <v>4.3</v>
      </c>
      <c r="H1423" t="n">
        <v>0</v>
      </c>
      <c r="I1423" t="n">
        <v>0</v>
      </c>
      <c r="J1423" t="n">
        <v>0</v>
      </c>
      <c r="K1423" t="n">
        <v>0</v>
      </c>
      <c r="L1423" t="n">
        <v>0</v>
      </c>
      <c r="M1423" t="n">
        <v>0</v>
      </c>
      <c r="N1423" t="n">
        <v>0</v>
      </c>
      <c r="O1423" t="n">
        <v>0</v>
      </c>
      <c r="P1423" t="n">
        <v>0</v>
      </c>
      <c r="Q1423" t="n">
        <v>0</v>
      </c>
      <c r="R1423" s="2" t="inlineStr"/>
    </row>
    <row r="1424" ht="15" customHeight="1">
      <c r="A1424" t="inlineStr">
        <is>
          <t>A 28813-2019</t>
        </is>
      </c>
      <c r="B1424" s="1" t="n">
        <v>43627</v>
      </c>
      <c r="C1424" s="1" t="n">
        <v>45210</v>
      </c>
      <c r="D1424" t="inlineStr">
        <is>
          <t>DALARNAS LÄN</t>
        </is>
      </c>
      <c r="E1424" t="inlineStr">
        <is>
          <t>FALUN</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28696-2019</t>
        </is>
      </c>
      <c r="B1425" s="1" t="n">
        <v>43627</v>
      </c>
      <c r="C1425" s="1" t="n">
        <v>45210</v>
      </c>
      <c r="D1425" t="inlineStr">
        <is>
          <t>DALARNAS LÄN</t>
        </is>
      </c>
      <c r="E1425" t="inlineStr">
        <is>
          <t>HEDEMORA</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29012-2019</t>
        </is>
      </c>
      <c r="B1426" s="1" t="n">
        <v>43628</v>
      </c>
      <c r="C1426" s="1" t="n">
        <v>45210</v>
      </c>
      <c r="D1426" t="inlineStr">
        <is>
          <t>DALARNAS LÄN</t>
        </is>
      </c>
      <c r="E1426" t="inlineStr">
        <is>
          <t>RÄTTVIK</t>
        </is>
      </c>
      <c r="F1426" t="inlineStr">
        <is>
          <t>Bergvik skog väst AB</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28948-2019</t>
        </is>
      </c>
      <c r="B1427" s="1" t="n">
        <v>43628</v>
      </c>
      <c r="C1427" s="1" t="n">
        <v>45210</v>
      </c>
      <c r="D1427" t="inlineStr">
        <is>
          <t>DALARNAS LÄN</t>
        </is>
      </c>
      <c r="E1427" t="inlineStr">
        <is>
          <t>RÄTTVIK</t>
        </is>
      </c>
      <c r="F1427" t="inlineStr">
        <is>
          <t>Bergvik skog väst AB</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29061-2019</t>
        </is>
      </c>
      <c r="B1428" s="1" t="n">
        <v>43628</v>
      </c>
      <c r="C1428" s="1" t="n">
        <v>45210</v>
      </c>
      <c r="D1428" t="inlineStr">
        <is>
          <t>DALARNAS LÄN</t>
        </is>
      </c>
      <c r="E1428" t="inlineStr">
        <is>
          <t>AVESTA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29124-2019</t>
        </is>
      </c>
      <c r="B1429" s="1" t="n">
        <v>43628</v>
      </c>
      <c r="C1429" s="1" t="n">
        <v>45210</v>
      </c>
      <c r="D1429" t="inlineStr">
        <is>
          <t>DALARNAS LÄN</t>
        </is>
      </c>
      <c r="E1429" t="inlineStr">
        <is>
          <t>SMEDJEBACKEN</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28965-2019</t>
        </is>
      </c>
      <c r="B1430" s="1" t="n">
        <v>43628</v>
      </c>
      <c r="C1430" s="1" t="n">
        <v>45210</v>
      </c>
      <c r="D1430" t="inlineStr">
        <is>
          <t>DALARNAS LÄN</t>
        </is>
      </c>
      <c r="E1430" t="inlineStr">
        <is>
          <t>ÄLVDALEN</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29027-2019</t>
        </is>
      </c>
      <c r="B1431" s="1" t="n">
        <v>43628</v>
      </c>
      <c r="C1431" s="1" t="n">
        <v>45210</v>
      </c>
      <c r="D1431" t="inlineStr">
        <is>
          <t>DALARNAS LÄN</t>
        </is>
      </c>
      <c r="E1431" t="inlineStr">
        <is>
          <t>LUDVIKA</t>
        </is>
      </c>
      <c r="F1431" t="inlineStr">
        <is>
          <t>Bergvik skog väst AB</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29370-2019</t>
        </is>
      </c>
      <c r="B1432" s="1" t="n">
        <v>43629</v>
      </c>
      <c r="C1432" s="1" t="n">
        <v>45210</v>
      </c>
      <c r="D1432" t="inlineStr">
        <is>
          <t>DALARNAS LÄN</t>
        </is>
      </c>
      <c r="E1432" t="inlineStr">
        <is>
          <t>MORA</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29467-2019</t>
        </is>
      </c>
      <c r="B1433" s="1" t="n">
        <v>43629</v>
      </c>
      <c r="C1433" s="1" t="n">
        <v>45210</v>
      </c>
      <c r="D1433" t="inlineStr">
        <is>
          <t>DALARNAS LÄN</t>
        </is>
      </c>
      <c r="E1433" t="inlineStr">
        <is>
          <t>SMEDJEBACKEN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29880-2019</t>
        </is>
      </c>
      <c r="B1434" s="1" t="n">
        <v>43629</v>
      </c>
      <c r="C1434" s="1" t="n">
        <v>45210</v>
      </c>
      <c r="D1434" t="inlineStr">
        <is>
          <t>DALARNAS LÄN</t>
        </is>
      </c>
      <c r="E1434" t="inlineStr">
        <is>
          <t>RÄTTVIK</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29395-2019</t>
        </is>
      </c>
      <c r="B1435" s="1" t="n">
        <v>43629</v>
      </c>
      <c r="C1435" s="1" t="n">
        <v>45210</v>
      </c>
      <c r="D1435" t="inlineStr">
        <is>
          <t>DALARNAS LÄN</t>
        </is>
      </c>
      <c r="E1435" t="inlineStr">
        <is>
          <t>MORA</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29283-2019</t>
        </is>
      </c>
      <c r="B1436" s="1" t="n">
        <v>43629</v>
      </c>
      <c r="C1436" s="1" t="n">
        <v>45210</v>
      </c>
      <c r="D1436" t="inlineStr">
        <is>
          <t>DALARNAS LÄN</t>
        </is>
      </c>
      <c r="E1436" t="inlineStr">
        <is>
          <t>VANSBRO</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29386-2019</t>
        </is>
      </c>
      <c r="B1437" s="1" t="n">
        <v>43629</v>
      </c>
      <c r="C1437" s="1" t="n">
        <v>45210</v>
      </c>
      <c r="D1437" t="inlineStr">
        <is>
          <t>DALARNAS LÄN</t>
        </is>
      </c>
      <c r="E1437" t="inlineStr">
        <is>
          <t>MORA</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29399-2019</t>
        </is>
      </c>
      <c r="B1438" s="1" t="n">
        <v>43629</v>
      </c>
      <c r="C1438" s="1" t="n">
        <v>45210</v>
      </c>
      <c r="D1438" t="inlineStr">
        <is>
          <t>DALARNAS LÄN</t>
        </is>
      </c>
      <c r="E1438" t="inlineStr">
        <is>
          <t>FALUN</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29710-2019</t>
        </is>
      </c>
      <c r="B1439" s="1" t="n">
        <v>43630</v>
      </c>
      <c r="C1439" s="1" t="n">
        <v>45210</v>
      </c>
      <c r="D1439" t="inlineStr">
        <is>
          <t>DALARNAS LÄN</t>
        </is>
      </c>
      <c r="E1439" t="inlineStr">
        <is>
          <t>VANSBRO</t>
        </is>
      </c>
      <c r="F1439" t="inlineStr">
        <is>
          <t>Bergvik skog väst AB</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30121-2019</t>
        </is>
      </c>
      <c r="B1440" s="1" t="n">
        <v>43630</v>
      </c>
      <c r="C1440" s="1" t="n">
        <v>45210</v>
      </c>
      <c r="D1440" t="inlineStr">
        <is>
          <t>DALARNAS LÄN</t>
        </is>
      </c>
      <c r="E1440" t="inlineStr">
        <is>
          <t>LUDVIKA</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29697-2019</t>
        </is>
      </c>
      <c r="B1441" s="1" t="n">
        <v>43630</v>
      </c>
      <c r="C1441" s="1" t="n">
        <v>45210</v>
      </c>
      <c r="D1441" t="inlineStr">
        <is>
          <t>DALARNAS LÄN</t>
        </is>
      </c>
      <c r="E1441" t="inlineStr">
        <is>
          <t>BORLÄNGE</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30102-2019</t>
        </is>
      </c>
      <c r="B1442" s="1" t="n">
        <v>43630</v>
      </c>
      <c r="C1442" s="1" t="n">
        <v>45210</v>
      </c>
      <c r="D1442" t="inlineStr">
        <is>
          <t>DALARNAS LÄN</t>
        </is>
      </c>
      <c r="E1442" t="inlineStr">
        <is>
          <t>LUDVIKA</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30233-2019</t>
        </is>
      </c>
      <c r="B1443" s="1" t="n">
        <v>43630</v>
      </c>
      <c r="C1443" s="1" t="n">
        <v>45210</v>
      </c>
      <c r="D1443" t="inlineStr">
        <is>
          <t>DALARNAS LÄN</t>
        </is>
      </c>
      <c r="E1443" t="inlineStr">
        <is>
          <t>LUDVIKA</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29638-2019</t>
        </is>
      </c>
      <c r="B1444" s="1" t="n">
        <v>43630</v>
      </c>
      <c r="C1444" s="1" t="n">
        <v>45210</v>
      </c>
      <c r="D1444" t="inlineStr">
        <is>
          <t>DALARNAS LÄN</t>
        </is>
      </c>
      <c r="E1444" t="inlineStr">
        <is>
          <t>RÄTTVIK</t>
        </is>
      </c>
      <c r="G1444" t="n">
        <v>10.3</v>
      </c>
      <c r="H1444" t="n">
        <v>0</v>
      </c>
      <c r="I1444" t="n">
        <v>0</v>
      </c>
      <c r="J1444" t="n">
        <v>0</v>
      </c>
      <c r="K1444" t="n">
        <v>0</v>
      </c>
      <c r="L1444" t="n">
        <v>0</v>
      </c>
      <c r="M1444" t="n">
        <v>0</v>
      </c>
      <c r="N1444" t="n">
        <v>0</v>
      </c>
      <c r="O1444" t="n">
        <v>0</v>
      </c>
      <c r="P1444" t="n">
        <v>0</v>
      </c>
      <c r="Q1444" t="n">
        <v>0</v>
      </c>
      <c r="R1444" s="2" t="inlineStr"/>
    </row>
    <row r="1445" ht="15" customHeight="1">
      <c r="A1445" t="inlineStr">
        <is>
          <t>A 29661-2019</t>
        </is>
      </c>
      <c r="B1445" s="1" t="n">
        <v>43630</v>
      </c>
      <c r="C1445" s="1" t="n">
        <v>45210</v>
      </c>
      <c r="D1445" t="inlineStr">
        <is>
          <t>DALARNAS LÄN</t>
        </is>
      </c>
      <c r="E1445" t="inlineStr">
        <is>
          <t>SMEDJEBACKEN</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29761-2019</t>
        </is>
      </c>
      <c r="B1446" s="1" t="n">
        <v>43631</v>
      </c>
      <c r="C1446" s="1" t="n">
        <v>45210</v>
      </c>
      <c r="D1446" t="inlineStr">
        <is>
          <t>DALARNAS LÄN</t>
        </is>
      </c>
      <c r="E1446" t="inlineStr">
        <is>
          <t>MALUNG-SÄLEN</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29760-2019</t>
        </is>
      </c>
      <c r="B1447" s="1" t="n">
        <v>43631</v>
      </c>
      <c r="C1447" s="1" t="n">
        <v>45210</v>
      </c>
      <c r="D1447" t="inlineStr">
        <is>
          <t>DALARNAS LÄN</t>
        </is>
      </c>
      <c r="E1447" t="inlineStr">
        <is>
          <t>MALUNG-SÄLEN</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29827-2019</t>
        </is>
      </c>
      <c r="B1448" s="1" t="n">
        <v>43633</v>
      </c>
      <c r="C1448" s="1" t="n">
        <v>45210</v>
      </c>
      <c r="D1448" t="inlineStr">
        <is>
          <t>DALARNAS LÄN</t>
        </is>
      </c>
      <c r="E1448" t="inlineStr">
        <is>
          <t>GAGNEF</t>
        </is>
      </c>
      <c r="F1448" t="inlineStr">
        <is>
          <t>Bergvik skog väst AB</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29891-2019</t>
        </is>
      </c>
      <c r="B1449" s="1" t="n">
        <v>43633</v>
      </c>
      <c r="C1449" s="1" t="n">
        <v>45210</v>
      </c>
      <c r="D1449" t="inlineStr">
        <is>
          <t>DALARNAS LÄN</t>
        </is>
      </c>
      <c r="E1449" t="inlineStr">
        <is>
          <t>VANSBRO</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30040-2019</t>
        </is>
      </c>
      <c r="B1450" s="1" t="n">
        <v>43633</v>
      </c>
      <c r="C1450" s="1" t="n">
        <v>45210</v>
      </c>
      <c r="D1450" t="inlineStr">
        <is>
          <t>DALARNAS LÄN</t>
        </is>
      </c>
      <c r="E1450" t="inlineStr">
        <is>
          <t>LUDVIKA</t>
        </is>
      </c>
      <c r="G1450" t="n">
        <v>8.800000000000001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30250-2019</t>
        </is>
      </c>
      <c r="B1451" s="1" t="n">
        <v>43633</v>
      </c>
      <c r="C1451" s="1" t="n">
        <v>45210</v>
      </c>
      <c r="D1451" t="inlineStr">
        <is>
          <t>DALARNAS LÄN</t>
        </is>
      </c>
      <c r="E1451" t="inlineStr">
        <is>
          <t>RÄTTVIK</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30302-2019</t>
        </is>
      </c>
      <c r="B1452" s="1" t="n">
        <v>43633</v>
      </c>
      <c r="C1452" s="1" t="n">
        <v>45210</v>
      </c>
      <c r="D1452" t="inlineStr">
        <is>
          <t>DALARNAS LÄN</t>
        </is>
      </c>
      <c r="E1452" t="inlineStr">
        <is>
          <t>SÄTER</t>
        </is>
      </c>
      <c r="F1452" t="inlineStr">
        <is>
          <t>Bergvik skog väst AB</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29842-2019</t>
        </is>
      </c>
      <c r="B1453" s="1" t="n">
        <v>43633</v>
      </c>
      <c r="C1453" s="1" t="n">
        <v>45210</v>
      </c>
      <c r="D1453" t="inlineStr">
        <is>
          <t>DALARNAS LÄN</t>
        </is>
      </c>
      <c r="E1453" t="inlineStr">
        <is>
          <t>RÄTTVIK</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30046-2019</t>
        </is>
      </c>
      <c r="B1454" s="1" t="n">
        <v>43633</v>
      </c>
      <c r="C1454" s="1" t="n">
        <v>45210</v>
      </c>
      <c r="D1454" t="inlineStr">
        <is>
          <t>DALARNAS LÄN</t>
        </is>
      </c>
      <c r="E1454" t="inlineStr">
        <is>
          <t>MALUNG-SÄLEN</t>
        </is>
      </c>
      <c r="G1454" t="n">
        <v>7.6</v>
      </c>
      <c r="H1454" t="n">
        <v>0</v>
      </c>
      <c r="I1454" t="n">
        <v>0</v>
      </c>
      <c r="J1454" t="n">
        <v>0</v>
      </c>
      <c r="K1454" t="n">
        <v>0</v>
      </c>
      <c r="L1454" t="n">
        <v>0</v>
      </c>
      <c r="M1454" t="n">
        <v>0</v>
      </c>
      <c r="N1454" t="n">
        <v>0</v>
      </c>
      <c r="O1454" t="n">
        <v>0</v>
      </c>
      <c r="P1454" t="n">
        <v>0</v>
      </c>
      <c r="Q1454" t="n">
        <v>0</v>
      </c>
      <c r="R1454" s="2" t="inlineStr"/>
    </row>
    <row r="1455" ht="15" customHeight="1">
      <c r="A1455" t="inlineStr">
        <is>
          <t>A 29868-2019</t>
        </is>
      </c>
      <c r="B1455" s="1" t="n">
        <v>43633</v>
      </c>
      <c r="C1455" s="1" t="n">
        <v>45210</v>
      </c>
      <c r="D1455" t="inlineStr">
        <is>
          <t>DALARNAS LÄN</t>
        </is>
      </c>
      <c r="E1455" t="inlineStr">
        <is>
          <t>AVESTA</t>
        </is>
      </c>
      <c r="F1455" t="inlineStr">
        <is>
          <t>Sveaskog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30307-2019</t>
        </is>
      </c>
      <c r="B1456" s="1" t="n">
        <v>43633</v>
      </c>
      <c r="C1456" s="1" t="n">
        <v>45210</v>
      </c>
      <c r="D1456" t="inlineStr">
        <is>
          <t>DALARNAS LÄN</t>
        </is>
      </c>
      <c r="E1456" t="inlineStr">
        <is>
          <t>SÄTER</t>
        </is>
      </c>
      <c r="F1456" t="inlineStr">
        <is>
          <t>Bergvik skog väst AB</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30171-2019</t>
        </is>
      </c>
      <c r="B1457" s="1" t="n">
        <v>43634</v>
      </c>
      <c r="C1457" s="1" t="n">
        <v>45210</v>
      </c>
      <c r="D1457" t="inlineStr">
        <is>
          <t>DALARNAS LÄN</t>
        </is>
      </c>
      <c r="E1457" t="inlineStr">
        <is>
          <t>SÄTER</t>
        </is>
      </c>
      <c r="G1457" t="n">
        <v>5</v>
      </c>
      <c r="H1457" t="n">
        <v>0</v>
      </c>
      <c r="I1457" t="n">
        <v>0</v>
      </c>
      <c r="J1457" t="n">
        <v>0</v>
      </c>
      <c r="K1457" t="n">
        <v>0</v>
      </c>
      <c r="L1457" t="n">
        <v>0</v>
      </c>
      <c r="M1457" t="n">
        <v>0</v>
      </c>
      <c r="N1457" t="n">
        <v>0</v>
      </c>
      <c r="O1457" t="n">
        <v>0</v>
      </c>
      <c r="P1457" t="n">
        <v>0</v>
      </c>
      <c r="Q1457" t="n">
        <v>0</v>
      </c>
      <c r="R1457" s="2" t="inlineStr"/>
    </row>
    <row r="1458" ht="15" customHeight="1">
      <c r="A1458" t="inlineStr">
        <is>
          <t>A 30295-2019</t>
        </is>
      </c>
      <c r="B1458" s="1" t="n">
        <v>43634</v>
      </c>
      <c r="C1458" s="1" t="n">
        <v>45210</v>
      </c>
      <c r="D1458" t="inlineStr">
        <is>
          <t>DALARNAS LÄN</t>
        </is>
      </c>
      <c r="E1458" t="inlineStr">
        <is>
          <t>MALUNG-SÄLEN</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30144-2019</t>
        </is>
      </c>
      <c r="B1459" s="1" t="n">
        <v>43634</v>
      </c>
      <c r="C1459" s="1" t="n">
        <v>45210</v>
      </c>
      <c r="D1459" t="inlineStr">
        <is>
          <t>DALARNAS LÄN</t>
        </is>
      </c>
      <c r="E1459" t="inlineStr">
        <is>
          <t>SÄTER</t>
        </is>
      </c>
      <c r="G1459" t="n">
        <v>2.6</v>
      </c>
      <c r="H1459" t="n">
        <v>0</v>
      </c>
      <c r="I1459" t="n">
        <v>0</v>
      </c>
      <c r="J1459" t="n">
        <v>0</v>
      </c>
      <c r="K1459" t="n">
        <v>0</v>
      </c>
      <c r="L1459" t="n">
        <v>0</v>
      </c>
      <c r="M1459" t="n">
        <v>0</v>
      </c>
      <c r="N1459" t="n">
        <v>0</v>
      </c>
      <c r="O1459" t="n">
        <v>0</v>
      </c>
      <c r="P1459" t="n">
        <v>0</v>
      </c>
      <c r="Q1459" t="n">
        <v>0</v>
      </c>
      <c r="R1459" s="2" t="inlineStr"/>
    </row>
    <row r="1460" ht="15" customHeight="1">
      <c r="A1460" t="inlineStr">
        <is>
          <t>A 30203-2019</t>
        </is>
      </c>
      <c r="B1460" s="1" t="n">
        <v>43634</v>
      </c>
      <c r="C1460" s="1" t="n">
        <v>45210</v>
      </c>
      <c r="D1460" t="inlineStr">
        <is>
          <t>DALARNAS LÄN</t>
        </is>
      </c>
      <c r="E1460" t="inlineStr">
        <is>
          <t>FALUN</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30230-2019</t>
        </is>
      </c>
      <c r="B1461" s="1" t="n">
        <v>43634</v>
      </c>
      <c r="C1461" s="1" t="n">
        <v>45210</v>
      </c>
      <c r="D1461" t="inlineStr">
        <is>
          <t>DALARNAS LÄN</t>
        </is>
      </c>
      <c r="E1461" t="inlineStr">
        <is>
          <t>MALUNG-SÄLEN</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30487-2019</t>
        </is>
      </c>
      <c r="B1462" s="1" t="n">
        <v>43635</v>
      </c>
      <c r="C1462" s="1" t="n">
        <v>45210</v>
      </c>
      <c r="D1462" t="inlineStr">
        <is>
          <t>DALARNAS LÄN</t>
        </is>
      </c>
      <c r="E1462" t="inlineStr">
        <is>
          <t>MORA</t>
        </is>
      </c>
      <c r="G1462" t="n">
        <v>11.5</v>
      </c>
      <c r="H1462" t="n">
        <v>0</v>
      </c>
      <c r="I1462" t="n">
        <v>0</v>
      </c>
      <c r="J1462" t="n">
        <v>0</v>
      </c>
      <c r="K1462" t="n">
        <v>0</v>
      </c>
      <c r="L1462" t="n">
        <v>0</v>
      </c>
      <c r="M1462" t="n">
        <v>0</v>
      </c>
      <c r="N1462" t="n">
        <v>0</v>
      </c>
      <c r="O1462" t="n">
        <v>0</v>
      </c>
      <c r="P1462" t="n">
        <v>0</v>
      </c>
      <c r="Q1462" t="n">
        <v>0</v>
      </c>
      <c r="R1462" s="2" t="inlineStr"/>
    </row>
    <row r="1463" ht="15" customHeight="1">
      <c r="A1463" t="inlineStr">
        <is>
          <t>A 30506-2019</t>
        </is>
      </c>
      <c r="B1463" s="1" t="n">
        <v>43635</v>
      </c>
      <c r="C1463" s="1" t="n">
        <v>45210</v>
      </c>
      <c r="D1463" t="inlineStr">
        <is>
          <t>DALARNAS LÄN</t>
        </is>
      </c>
      <c r="E1463" t="inlineStr">
        <is>
          <t>ÄLVDALEN</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30522-2019</t>
        </is>
      </c>
      <c r="B1464" s="1" t="n">
        <v>43635</v>
      </c>
      <c r="C1464" s="1" t="n">
        <v>45210</v>
      </c>
      <c r="D1464" t="inlineStr">
        <is>
          <t>DALARNAS LÄN</t>
        </is>
      </c>
      <c r="E1464" t="inlineStr">
        <is>
          <t>GAGNEF</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30558-2019</t>
        </is>
      </c>
      <c r="B1465" s="1" t="n">
        <v>43635</v>
      </c>
      <c r="C1465" s="1" t="n">
        <v>45210</v>
      </c>
      <c r="D1465" t="inlineStr">
        <is>
          <t>DALARNAS LÄN</t>
        </is>
      </c>
      <c r="E1465" t="inlineStr">
        <is>
          <t>MORA</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30585-2019</t>
        </is>
      </c>
      <c r="B1466" s="1" t="n">
        <v>43635</v>
      </c>
      <c r="C1466" s="1" t="n">
        <v>45210</v>
      </c>
      <c r="D1466" t="inlineStr">
        <is>
          <t>DALARNAS LÄN</t>
        </is>
      </c>
      <c r="E1466" t="inlineStr">
        <is>
          <t>MORA</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30497-2019</t>
        </is>
      </c>
      <c r="B1467" s="1" t="n">
        <v>43635</v>
      </c>
      <c r="C1467" s="1" t="n">
        <v>45210</v>
      </c>
      <c r="D1467" t="inlineStr">
        <is>
          <t>DALARNAS LÄN</t>
        </is>
      </c>
      <c r="E1467" t="inlineStr">
        <is>
          <t>HEDEMORA</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30734-2019</t>
        </is>
      </c>
      <c r="B1468" s="1" t="n">
        <v>43636</v>
      </c>
      <c r="C1468" s="1" t="n">
        <v>45210</v>
      </c>
      <c r="D1468" t="inlineStr">
        <is>
          <t>DALARNAS LÄN</t>
        </is>
      </c>
      <c r="E1468" t="inlineStr">
        <is>
          <t>GAGNEF</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30687-2019</t>
        </is>
      </c>
      <c r="B1469" s="1" t="n">
        <v>43636</v>
      </c>
      <c r="C1469" s="1" t="n">
        <v>45210</v>
      </c>
      <c r="D1469" t="inlineStr">
        <is>
          <t>DALARNAS LÄN</t>
        </is>
      </c>
      <c r="E1469" t="inlineStr">
        <is>
          <t>HEDEMORA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30666-2019</t>
        </is>
      </c>
      <c r="B1470" s="1" t="n">
        <v>43636</v>
      </c>
      <c r="C1470" s="1" t="n">
        <v>45210</v>
      </c>
      <c r="D1470" t="inlineStr">
        <is>
          <t>DALARNAS LÄN</t>
        </is>
      </c>
      <c r="E1470" t="inlineStr">
        <is>
          <t>FALUN</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30674-2019</t>
        </is>
      </c>
      <c r="B1471" s="1" t="n">
        <v>43636</v>
      </c>
      <c r="C1471" s="1" t="n">
        <v>45210</v>
      </c>
      <c r="D1471" t="inlineStr">
        <is>
          <t>DALARNAS LÄN</t>
        </is>
      </c>
      <c r="E1471" t="inlineStr">
        <is>
          <t>MORA</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30680-2019</t>
        </is>
      </c>
      <c r="B1472" s="1" t="n">
        <v>43636</v>
      </c>
      <c r="C1472" s="1" t="n">
        <v>45210</v>
      </c>
      <c r="D1472" t="inlineStr">
        <is>
          <t>DALARNAS LÄN</t>
        </is>
      </c>
      <c r="E1472" t="inlineStr">
        <is>
          <t>FALUN</t>
        </is>
      </c>
      <c r="G1472" t="n">
        <v>4.1</v>
      </c>
      <c r="H1472" t="n">
        <v>0</v>
      </c>
      <c r="I1472" t="n">
        <v>0</v>
      </c>
      <c r="J1472" t="n">
        <v>0</v>
      </c>
      <c r="K1472" t="n">
        <v>0</v>
      </c>
      <c r="L1472" t="n">
        <v>0</v>
      </c>
      <c r="M1472" t="n">
        <v>0</v>
      </c>
      <c r="N1472" t="n">
        <v>0</v>
      </c>
      <c r="O1472" t="n">
        <v>0</v>
      </c>
      <c r="P1472" t="n">
        <v>0</v>
      </c>
      <c r="Q1472" t="n">
        <v>0</v>
      </c>
      <c r="R1472" s="2" t="inlineStr"/>
    </row>
    <row r="1473" ht="15" customHeight="1">
      <c r="A1473" t="inlineStr">
        <is>
          <t>A 30747-2019</t>
        </is>
      </c>
      <c r="B1473" s="1" t="n">
        <v>43636</v>
      </c>
      <c r="C1473" s="1" t="n">
        <v>45210</v>
      </c>
      <c r="D1473" t="inlineStr">
        <is>
          <t>DALARNAS LÄN</t>
        </is>
      </c>
      <c r="E1473" t="inlineStr">
        <is>
          <t>SÄTER</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30887-2019</t>
        </is>
      </c>
      <c r="B1474" s="1" t="n">
        <v>43636</v>
      </c>
      <c r="C1474" s="1" t="n">
        <v>45210</v>
      </c>
      <c r="D1474" t="inlineStr">
        <is>
          <t>DALARNAS LÄN</t>
        </is>
      </c>
      <c r="E1474" t="inlineStr">
        <is>
          <t>LUDVIKA</t>
        </is>
      </c>
      <c r="F1474" t="inlineStr">
        <is>
          <t>Bergvik skog väst AB</t>
        </is>
      </c>
      <c r="G1474" t="n">
        <v>5.5</v>
      </c>
      <c r="H1474" t="n">
        <v>0</v>
      </c>
      <c r="I1474" t="n">
        <v>0</v>
      </c>
      <c r="J1474" t="n">
        <v>0</v>
      </c>
      <c r="K1474" t="n">
        <v>0</v>
      </c>
      <c r="L1474" t="n">
        <v>0</v>
      </c>
      <c r="M1474" t="n">
        <v>0</v>
      </c>
      <c r="N1474" t="n">
        <v>0</v>
      </c>
      <c r="O1474" t="n">
        <v>0</v>
      </c>
      <c r="P1474" t="n">
        <v>0</v>
      </c>
      <c r="Q1474" t="n">
        <v>0</v>
      </c>
      <c r="R1474" s="2" t="inlineStr"/>
    </row>
    <row r="1475" ht="15" customHeight="1">
      <c r="A1475" t="inlineStr">
        <is>
          <t>A 30828-2019</t>
        </is>
      </c>
      <c r="B1475" s="1" t="n">
        <v>43636</v>
      </c>
      <c r="C1475" s="1" t="n">
        <v>45210</v>
      </c>
      <c r="D1475" t="inlineStr">
        <is>
          <t>DALARNAS LÄN</t>
        </is>
      </c>
      <c r="E1475" t="inlineStr">
        <is>
          <t>MALUNG-SÄLEN</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31365-2019</t>
        </is>
      </c>
      <c r="B1476" s="1" t="n">
        <v>43636</v>
      </c>
      <c r="C1476" s="1" t="n">
        <v>45210</v>
      </c>
      <c r="D1476" t="inlineStr">
        <is>
          <t>DALARNAS LÄN</t>
        </is>
      </c>
      <c r="E1476" t="inlineStr">
        <is>
          <t>GAGNEF</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31099-2019</t>
        </is>
      </c>
      <c r="B1477" s="1" t="n">
        <v>43640</v>
      </c>
      <c r="C1477" s="1" t="n">
        <v>45210</v>
      </c>
      <c r="D1477" t="inlineStr">
        <is>
          <t>DALARNAS LÄN</t>
        </is>
      </c>
      <c r="E1477" t="inlineStr">
        <is>
          <t>ORSA</t>
        </is>
      </c>
      <c r="F1477" t="inlineStr">
        <is>
          <t>Allmännings- och besparingsskogar</t>
        </is>
      </c>
      <c r="G1477" t="n">
        <v>5</v>
      </c>
      <c r="H1477" t="n">
        <v>0</v>
      </c>
      <c r="I1477" t="n">
        <v>0</v>
      </c>
      <c r="J1477" t="n">
        <v>0</v>
      </c>
      <c r="K1477" t="n">
        <v>0</v>
      </c>
      <c r="L1477" t="n">
        <v>0</v>
      </c>
      <c r="M1477" t="n">
        <v>0</v>
      </c>
      <c r="N1477" t="n">
        <v>0</v>
      </c>
      <c r="O1477" t="n">
        <v>0</v>
      </c>
      <c r="P1477" t="n">
        <v>0</v>
      </c>
      <c r="Q1477" t="n">
        <v>0</v>
      </c>
      <c r="R1477" s="2" t="inlineStr"/>
    </row>
    <row r="1478" ht="15" customHeight="1">
      <c r="A1478" t="inlineStr">
        <is>
          <t>A 31143-2019</t>
        </is>
      </c>
      <c r="B1478" s="1" t="n">
        <v>43640</v>
      </c>
      <c r="C1478" s="1" t="n">
        <v>45210</v>
      </c>
      <c r="D1478" t="inlineStr">
        <is>
          <t>DALARNAS LÄN</t>
        </is>
      </c>
      <c r="E1478" t="inlineStr">
        <is>
          <t>FALUN</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31170-2019</t>
        </is>
      </c>
      <c r="B1479" s="1" t="n">
        <v>43640</v>
      </c>
      <c r="C1479" s="1" t="n">
        <v>45210</v>
      </c>
      <c r="D1479" t="inlineStr">
        <is>
          <t>DALARNAS LÄN</t>
        </is>
      </c>
      <c r="E1479" t="inlineStr">
        <is>
          <t>GAGNEF</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31007-2019</t>
        </is>
      </c>
      <c r="B1480" s="1" t="n">
        <v>43640</v>
      </c>
      <c r="C1480" s="1" t="n">
        <v>45210</v>
      </c>
      <c r="D1480" t="inlineStr">
        <is>
          <t>DALARNAS LÄN</t>
        </is>
      </c>
      <c r="E1480" t="inlineStr">
        <is>
          <t>MORA</t>
        </is>
      </c>
      <c r="G1480" t="n">
        <v>15.2</v>
      </c>
      <c r="H1480" t="n">
        <v>0</v>
      </c>
      <c r="I1480" t="n">
        <v>0</v>
      </c>
      <c r="J1480" t="n">
        <v>0</v>
      </c>
      <c r="K1480" t="n">
        <v>0</v>
      </c>
      <c r="L1480" t="n">
        <v>0</v>
      </c>
      <c r="M1480" t="n">
        <v>0</v>
      </c>
      <c r="N1480" t="n">
        <v>0</v>
      </c>
      <c r="O1480" t="n">
        <v>0</v>
      </c>
      <c r="P1480" t="n">
        <v>0</v>
      </c>
      <c r="Q1480" t="n">
        <v>0</v>
      </c>
      <c r="R1480" s="2" t="inlineStr"/>
    </row>
    <row r="1481" ht="15" customHeight="1">
      <c r="A1481" t="inlineStr">
        <is>
          <t>A 31247-2019</t>
        </is>
      </c>
      <c r="B1481" s="1" t="n">
        <v>43640</v>
      </c>
      <c r="C1481" s="1" t="n">
        <v>45210</v>
      </c>
      <c r="D1481" t="inlineStr">
        <is>
          <t>DALARNAS LÄN</t>
        </is>
      </c>
      <c r="E1481" t="inlineStr">
        <is>
          <t>GAGNEF</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31035-2019</t>
        </is>
      </c>
      <c r="B1482" s="1" t="n">
        <v>43640</v>
      </c>
      <c r="C1482" s="1" t="n">
        <v>45210</v>
      </c>
      <c r="D1482" t="inlineStr">
        <is>
          <t>DALARNAS LÄN</t>
        </is>
      </c>
      <c r="E1482" t="inlineStr">
        <is>
          <t>AVESTA</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31160-2019</t>
        </is>
      </c>
      <c r="B1483" s="1" t="n">
        <v>43640</v>
      </c>
      <c r="C1483" s="1" t="n">
        <v>45210</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31478-2019</t>
        </is>
      </c>
      <c r="B1484" s="1" t="n">
        <v>43641</v>
      </c>
      <c r="C1484" s="1" t="n">
        <v>45210</v>
      </c>
      <c r="D1484" t="inlineStr">
        <is>
          <t>DALARNAS LÄN</t>
        </is>
      </c>
      <c r="E1484" t="inlineStr">
        <is>
          <t>FALUN</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31399-2019</t>
        </is>
      </c>
      <c r="B1485" s="1" t="n">
        <v>43641</v>
      </c>
      <c r="C1485" s="1" t="n">
        <v>45210</v>
      </c>
      <c r="D1485" t="inlineStr">
        <is>
          <t>DALARNAS LÄN</t>
        </is>
      </c>
      <c r="E1485" t="inlineStr">
        <is>
          <t>VANSBRO</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31472-2019</t>
        </is>
      </c>
      <c r="B1486" s="1" t="n">
        <v>43641</v>
      </c>
      <c r="C1486" s="1" t="n">
        <v>45210</v>
      </c>
      <c r="D1486" t="inlineStr">
        <is>
          <t>DALARNAS LÄN</t>
        </is>
      </c>
      <c r="E1486" t="inlineStr">
        <is>
          <t>FALUN</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31455-2019</t>
        </is>
      </c>
      <c r="B1487" s="1" t="n">
        <v>43641</v>
      </c>
      <c r="C1487" s="1" t="n">
        <v>45210</v>
      </c>
      <c r="D1487" t="inlineStr">
        <is>
          <t>DALARNAS LÄN</t>
        </is>
      </c>
      <c r="E1487" t="inlineStr">
        <is>
          <t>GAGNEF</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31549-2019</t>
        </is>
      </c>
      <c r="B1488" s="1" t="n">
        <v>43641</v>
      </c>
      <c r="C1488" s="1" t="n">
        <v>45210</v>
      </c>
      <c r="D1488" t="inlineStr">
        <is>
          <t>DALARNAS LÄN</t>
        </is>
      </c>
      <c r="E1488" t="inlineStr">
        <is>
          <t>RÄTTVIK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31732-2019</t>
        </is>
      </c>
      <c r="B1489" s="1" t="n">
        <v>43642</v>
      </c>
      <c r="C1489" s="1" t="n">
        <v>45210</v>
      </c>
      <c r="D1489" t="inlineStr">
        <is>
          <t>DALARNAS LÄN</t>
        </is>
      </c>
      <c r="E1489" t="inlineStr">
        <is>
          <t>GAGNEF</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31823-2019</t>
        </is>
      </c>
      <c r="B1490" s="1" t="n">
        <v>43642</v>
      </c>
      <c r="C1490" s="1" t="n">
        <v>45210</v>
      </c>
      <c r="D1490" t="inlineStr">
        <is>
          <t>DALARNAS LÄN</t>
        </is>
      </c>
      <c r="E1490" t="inlineStr">
        <is>
          <t>GAGNEF</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31847-2019</t>
        </is>
      </c>
      <c r="B1491" s="1" t="n">
        <v>43642</v>
      </c>
      <c r="C1491" s="1" t="n">
        <v>45210</v>
      </c>
      <c r="D1491" t="inlineStr">
        <is>
          <t>DALARNAS LÄN</t>
        </is>
      </c>
      <c r="E1491" t="inlineStr">
        <is>
          <t>FALUN</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31932-2019</t>
        </is>
      </c>
      <c r="B1492" s="1" t="n">
        <v>43642</v>
      </c>
      <c r="C1492" s="1" t="n">
        <v>45210</v>
      </c>
      <c r="D1492" t="inlineStr">
        <is>
          <t>DALARNAS LÄN</t>
        </is>
      </c>
      <c r="E1492" t="inlineStr">
        <is>
          <t>AVESTA</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31786-2019</t>
        </is>
      </c>
      <c r="B1493" s="1" t="n">
        <v>43642</v>
      </c>
      <c r="C1493" s="1" t="n">
        <v>45210</v>
      </c>
      <c r="D1493" t="inlineStr">
        <is>
          <t>DALARNAS LÄN</t>
        </is>
      </c>
      <c r="E1493" t="inlineStr">
        <is>
          <t>MORA</t>
        </is>
      </c>
      <c r="F1493" t="inlineStr">
        <is>
          <t>Bergvik skog väst AB</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31833-2019</t>
        </is>
      </c>
      <c r="B1494" s="1" t="n">
        <v>43642</v>
      </c>
      <c r="C1494" s="1" t="n">
        <v>45210</v>
      </c>
      <c r="D1494" t="inlineStr">
        <is>
          <t>DALARNAS LÄN</t>
        </is>
      </c>
      <c r="E1494" t="inlineStr">
        <is>
          <t>BORLÄNGE</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31850-2019</t>
        </is>
      </c>
      <c r="B1495" s="1" t="n">
        <v>43642</v>
      </c>
      <c r="C1495" s="1" t="n">
        <v>45210</v>
      </c>
      <c r="D1495" t="inlineStr">
        <is>
          <t>DALARNAS LÄN</t>
        </is>
      </c>
      <c r="E1495" t="inlineStr">
        <is>
          <t>FALUN</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31956-2019</t>
        </is>
      </c>
      <c r="B1496" s="1" t="n">
        <v>43643</v>
      </c>
      <c r="C1496" s="1" t="n">
        <v>45210</v>
      </c>
      <c r="D1496" t="inlineStr">
        <is>
          <t>DALARNAS LÄN</t>
        </is>
      </c>
      <c r="E1496" t="inlineStr">
        <is>
          <t>ORSA</t>
        </is>
      </c>
      <c r="F1496" t="inlineStr">
        <is>
          <t>Bergvik skog öst AB</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32124-2019</t>
        </is>
      </c>
      <c r="B1497" s="1" t="n">
        <v>43643</v>
      </c>
      <c r="C1497" s="1" t="n">
        <v>45210</v>
      </c>
      <c r="D1497" t="inlineStr">
        <is>
          <t>DALARNAS LÄN</t>
        </is>
      </c>
      <c r="E1497" t="inlineStr">
        <is>
          <t>MALUNG-SÄLEN</t>
        </is>
      </c>
      <c r="G1497" t="n">
        <v>3.1</v>
      </c>
      <c r="H1497" t="n">
        <v>0</v>
      </c>
      <c r="I1497" t="n">
        <v>0</v>
      </c>
      <c r="J1497" t="n">
        <v>0</v>
      </c>
      <c r="K1497" t="n">
        <v>0</v>
      </c>
      <c r="L1497" t="n">
        <v>0</v>
      </c>
      <c r="M1497" t="n">
        <v>0</v>
      </c>
      <c r="N1497" t="n">
        <v>0</v>
      </c>
      <c r="O1497" t="n">
        <v>0</v>
      </c>
      <c r="P1497" t="n">
        <v>0</v>
      </c>
      <c r="Q1497" t="n">
        <v>0</v>
      </c>
      <c r="R1497" s="2" t="inlineStr"/>
    </row>
    <row r="1498" ht="15" customHeight="1">
      <c r="A1498" t="inlineStr">
        <is>
          <t>A 32085-2019</t>
        </is>
      </c>
      <c r="B1498" s="1" t="n">
        <v>43643</v>
      </c>
      <c r="C1498" s="1" t="n">
        <v>45210</v>
      </c>
      <c r="D1498" t="inlineStr">
        <is>
          <t>DALARNAS LÄN</t>
        </is>
      </c>
      <c r="E1498" t="inlineStr">
        <is>
          <t>MORA</t>
        </is>
      </c>
      <c r="G1498" t="n">
        <v>4.6</v>
      </c>
      <c r="H1498" t="n">
        <v>0</v>
      </c>
      <c r="I1498" t="n">
        <v>0</v>
      </c>
      <c r="J1498" t="n">
        <v>0</v>
      </c>
      <c r="K1498" t="n">
        <v>0</v>
      </c>
      <c r="L1498" t="n">
        <v>0</v>
      </c>
      <c r="M1498" t="n">
        <v>0</v>
      </c>
      <c r="N1498" t="n">
        <v>0</v>
      </c>
      <c r="O1498" t="n">
        <v>0</v>
      </c>
      <c r="P1498" t="n">
        <v>0</v>
      </c>
      <c r="Q1498" t="n">
        <v>0</v>
      </c>
      <c r="R1498" s="2" t="inlineStr"/>
    </row>
    <row r="1499" ht="15" customHeight="1">
      <c r="A1499" t="inlineStr">
        <is>
          <t>A 32094-2019</t>
        </is>
      </c>
      <c r="B1499" s="1" t="n">
        <v>43643</v>
      </c>
      <c r="C1499" s="1" t="n">
        <v>45210</v>
      </c>
      <c r="D1499" t="inlineStr">
        <is>
          <t>DALARNAS LÄN</t>
        </is>
      </c>
      <c r="E1499" t="inlineStr">
        <is>
          <t>ORSA</t>
        </is>
      </c>
      <c r="F1499" t="inlineStr">
        <is>
          <t>Bergvik skog väst AB</t>
        </is>
      </c>
      <c r="G1499" t="n">
        <v>19.2</v>
      </c>
      <c r="H1499" t="n">
        <v>0</v>
      </c>
      <c r="I1499" t="n">
        <v>0</v>
      </c>
      <c r="J1499" t="n">
        <v>0</v>
      </c>
      <c r="K1499" t="n">
        <v>0</v>
      </c>
      <c r="L1499" t="n">
        <v>0</v>
      </c>
      <c r="M1499" t="n">
        <v>0</v>
      </c>
      <c r="N1499" t="n">
        <v>0</v>
      </c>
      <c r="O1499" t="n">
        <v>0</v>
      </c>
      <c r="P1499" t="n">
        <v>0</v>
      </c>
      <c r="Q1499" t="n">
        <v>0</v>
      </c>
      <c r="R1499" s="2" t="inlineStr"/>
    </row>
    <row r="1500" ht="15" customHeight="1">
      <c r="A1500" t="inlineStr">
        <is>
          <t>A 32157-2019</t>
        </is>
      </c>
      <c r="B1500" s="1" t="n">
        <v>43643</v>
      </c>
      <c r="C1500" s="1" t="n">
        <v>45210</v>
      </c>
      <c r="D1500" t="inlineStr">
        <is>
          <t>DALARNAS LÄN</t>
        </is>
      </c>
      <c r="E1500" t="inlineStr">
        <is>
          <t>RÄTTVIK</t>
        </is>
      </c>
      <c r="F1500" t="inlineStr">
        <is>
          <t>Bergvik skog väst AB</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32138-2019</t>
        </is>
      </c>
      <c r="B1501" s="1" t="n">
        <v>43643</v>
      </c>
      <c r="C1501" s="1" t="n">
        <v>45210</v>
      </c>
      <c r="D1501" t="inlineStr">
        <is>
          <t>DALARNAS LÄN</t>
        </is>
      </c>
      <c r="E1501" t="inlineStr">
        <is>
          <t>SMEDJEBACKEN</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32158-2019</t>
        </is>
      </c>
      <c r="B1502" s="1" t="n">
        <v>43643</v>
      </c>
      <c r="C1502" s="1" t="n">
        <v>45210</v>
      </c>
      <c r="D1502" t="inlineStr">
        <is>
          <t>DALARNAS LÄN</t>
        </is>
      </c>
      <c r="E1502" t="inlineStr">
        <is>
          <t>RÄTTVIK</t>
        </is>
      </c>
      <c r="F1502" t="inlineStr">
        <is>
          <t>Bergvik skog väst AB</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32326-2019</t>
        </is>
      </c>
      <c r="B1503" s="1" t="n">
        <v>43644</v>
      </c>
      <c r="C1503" s="1" t="n">
        <v>45210</v>
      </c>
      <c r="D1503" t="inlineStr">
        <is>
          <t>DALARNAS LÄN</t>
        </is>
      </c>
      <c r="E1503" t="inlineStr">
        <is>
          <t>GAGNEF</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32441-2019</t>
        </is>
      </c>
      <c r="B1504" s="1" t="n">
        <v>43644</v>
      </c>
      <c r="C1504" s="1" t="n">
        <v>45210</v>
      </c>
      <c r="D1504" t="inlineStr">
        <is>
          <t>DALARNAS LÄN</t>
        </is>
      </c>
      <c r="E1504" t="inlineStr">
        <is>
          <t>AVESTA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32463-2019</t>
        </is>
      </c>
      <c r="B1505" s="1" t="n">
        <v>43644</v>
      </c>
      <c r="C1505" s="1" t="n">
        <v>45210</v>
      </c>
      <c r="D1505" t="inlineStr">
        <is>
          <t>DALARNAS LÄN</t>
        </is>
      </c>
      <c r="E1505" t="inlineStr">
        <is>
          <t>GAGNEF</t>
        </is>
      </c>
      <c r="F1505" t="inlineStr">
        <is>
          <t>Bergvik skog väst AB</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32347-2019</t>
        </is>
      </c>
      <c r="B1506" s="1" t="n">
        <v>43644</v>
      </c>
      <c r="C1506" s="1" t="n">
        <v>45210</v>
      </c>
      <c r="D1506" t="inlineStr">
        <is>
          <t>DALARNAS LÄN</t>
        </is>
      </c>
      <c r="E1506" t="inlineStr">
        <is>
          <t>ÄLVDALEN</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32357-2019</t>
        </is>
      </c>
      <c r="B1507" s="1" t="n">
        <v>43644</v>
      </c>
      <c r="C1507" s="1" t="n">
        <v>45210</v>
      </c>
      <c r="D1507" t="inlineStr">
        <is>
          <t>DALARNAS LÄN</t>
        </is>
      </c>
      <c r="E1507" t="inlineStr">
        <is>
          <t>ÄLVDALEN</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34243-2019</t>
        </is>
      </c>
      <c r="B1508" s="1" t="n">
        <v>43647</v>
      </c>
      <c r="C1508" s="1" t="n">
        <v>45210</v>
      </c>
      <c r="D1508" t="inlineStr">
        <is>
          <t>DALARNAS LÄN</t>
        </is>
      </c>
      <c r="E1508" t="inlineStr">
        <is>
          <t>MALUNG-SÄLEN</t>
        </is>
      </c>
      <c r="G1508" t="n">
        <v>8</v>
      </c>
      <c r="H1508" t="n">
        <v>0</v>
      </c>
      <c r="I1508" t="n">
        <v>0</v>
      </c>
      <c r="J1508" t="n">
        <v>0</v>
      </c>
      <c r="K1508" t="n">
        <v>0</v>
      </c>
      <c r="L1508" t="n">
        <v>0</v>
      </c>
      <c r="M1508" t="n">
        <v>0</v>
      </c>
      <c r="N1508" t="n">
        <v>0</v>
      </c>
      <c r="O1508" t="n">
        <v>0</v>
      </c>
      <c r="P1508" t="n">
        <v>0</v>
      </c>
      <c r="Q1508" t="n">
        <v>0</v>
      </c>
      <c r="R1508" s="2" t="inlineStr"/>
    </row>
    <row r="1509" ht="15" customHeight="1">
      <c r="A1509" t="inlineStr">
        <is>
          <t>A 34149-2019</t>
        </is>
      </c>
      <c r="B1509" s="1" t="n">
        <v>43647</v>
      </c>
      <c r="C1509" s="1" t="n">
        <v>45210</v>
      </c>
      <c r="D1509" t="inlineStr">
        <is>
          <t>DALARNAS LÄN</t>
        </is>
      </c>
      <c r="E1509" t="inlineStr">
        <is>
          <t>RÄTTVIK</t>
        </is>
      </c>
      <c r="F1509" t="inlineStr">
        <is>
          <t>Kommuner</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32826-2019</t>
        </is>
      </c>
      <c r="B1510" s="1" t="n">
        <v>43648</v>
      </c>
      <c r="C1510" s="1" t="n">
        <v>45210</v>
      </c>
      <c r="D1510" t="inlineStr">
        <is>
          <t>DALARNAS LÄN</t>
        </is>
      </c>
      <c r="E1510" t="inlineStr">
        <is>
          <t>BORLÄNGE</t>
        </is>
      </c>
      <c r="F1510" t="inlineStr">
        <is>
          <t>Kommuner</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32922-2019</t>
        </is>
      </c>
      <c r="B1511" s="1" t="n">
        <v>43648</v>
      </c>
      <c r="C1511" s="1" t="n">
        <v>45210</v>
      </c>
      <c r="D1511" t="inlineStr">
        <is>
          <t>DALARNAS LÄN</t>
        </is>
      </c>
      <c r="E1511" t="inlineStr">
        <is>
          <t>GAGNEF</t>
        </is>
      </c>
      <c r="F1511" t="inlineStr">
        <is>
          <t>Bergvik skog väst AB</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32933-2019</t>
        </is>
      </c>
      <c r="B1512" s="1" t="n">
        <v>43648</v>
      </c>
      <c r="C1512" s="1" t="n">
        <v>45210</v>
      </c>
      <c r="D1512" t="inlineStr">
        <is>
          <t>DALARNAS LÄN</t>
        </is>
      </c>
      <c r="E1512" t="inlineStr">
        <is>
          <t>ORSA</t>
        </is>
      </c>
      <c r="G1512" t="n">
        <v>6.3</v>
      </c>
      <c r="H1512" t="n">
        <v>0</v>
      </c>
      <c r="I1512" t="n">
        <v>0</v>
      </c>
      <c r="J1512" t="n">
        <v>0</v>
      </c>
      <c r="K1512" t="n">
        <v>0</v>
      </c>
      <c r="L1512" t="n">
        <v>0</v>
      </c>
      <c r="M1512" t="n">
        <v>0</v>
      </c>
      <c r="N1512" t="n">
        <v>0</v>
      </c>
      <c r="O1512" t="n">
        <v>0</v>
      </c>
      <c r="P1512" t="n">
        <v>0</v>
      </c>
      <c r="Q1512" t="n">
        <v>0</v>
      </c>
      <c r="R1512" s="2" t="inlineStr"/>
    </row>
    <row r="1513" ht="15" customHeight="1">
      <c r="A1513" t="inlineStr">
        <is>
          <t>A 33183-2019</t>
        </is>
      </c>
      <c r="B1513" s="1" t="n">
        <v>43649</v>
      </c>
      <c r="C1513" s="1" t="n">
        <v>45210</v>
      </c>
      <c r="D1513" t="inlineStr">
        <is>
          <t>DALARNAS LÄN</t>
        </is>
      </c>
      <c r="E1513" t="inlineStr">
        <is>
          <t>MORA</t>
        </is>
      </c>
      <c r="G1513" t="n">
        <v>20.1</v>
      </c>
      <c r="H1513" t="n">
        <v>0</v>
      </c>
      <c r="I1513" t="n">
        <v>0</v>
      </c>
      <c r="J1513" t="n">
        <v>0</v>
      </c>
      <c r="K1513" t="n">
        <v>0</v>
      </c>
      <c r="L1513" t="n">
        <v>0</v>
      </c>
      <c r="M1513" t="n">
        <v>0</v>
      </c>
      <c r="N1513" t="n">
        <v>0</v>
      </c>
      <c r="O1513" t="n">
        <v>0</v>
      </c>
      <c r="P1513" t="n">
        <v>0</v>
      </c>
      <c r="Q1513" t="n">
        <v>0</v>
      </c>
      <c r="R1513" s="2" t="inlineStr"/>
    </row>
    <row r="1514" ht="15" customHeight="1">
      <c r="A1514" t="inlineStr">
        <is>
          <t>A 33188-2019</t>
        </is>
      </c>
      <c r="B1514" s="1" t="n">
        <v>43649</v>
      </c>
      <c r="C1514" s="1" t="n">
        <v>45210</v>
      </c>
      <c r="D1514" t="inlineStr">
        <is>
          <t>DALARNAS LÄN</t>
        </is>
      </c>
      <c r="E1514" t="inlineStr">
        <is>
          <t>MORA</t>
        </is>
      </c>
      <c r="G1514" t="n">
        <v>3.9</v>
      </c>
      <c r="H1514" t="n">
        <v>0</v>
      </c>
      <c r="I1514" t="n">
        <v>0</v>
      </c>
      <c r="J1514" t="n">
        <v>0</v>
      </c>
      <c r="K1514" t="n">
        <v>0</v>
      </c>
      <c r="L1514" t="n">
        <v>0</v>
      </c>
      <c r="M1514" t="n">
        <v>0</v>
      </c>
      <c r="N1514" t="n">
        <v>0</v>
      </c>
      <c r="O1514" t="n">
        <v>0</v>
      </c>
      <c r="P1514" t="n">
        <v>0</v>
      </c>
      <c r="Q1514" t="n">
        <v>0</v>
      </c>
      <c r="R1514" s="2" t="inlineStr"/>
    </row>
    <row r="1515" ht="15" customHeight="1">
      <c r="A1515" t="inlineStr">
        <is>
          <t>A 33194-2019</t>
        </is>
      </c>
      <c r="B1515" s="1" t="n">
        <v>43649</v>
      </c>
      <c r="C1515" s="1" t="n">
        <v>45210</v>
      </c>
      <c r="D1515" t="inlineStr">
        <is>
          <t>DALARNAS LÄN</t>
        </is>
      </c>
      <c r="E1515" t="inlineStr">
        <is>
          <t>LUDVIKA</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33003-2019</t>
        </is>
      </c>
      <c r="B1516" s="1" t="n">
        <v>43649</v>
      </c>
      <c r="C1516" s="1" t="n">
        <v>45210</v>
      </c>
      <c r="D1516" t="inlineStr">
        <is>
          <t>DALARNAS LÄN</t>
        </is>
      </c>
      <c r="E1516" t="inlineStr">
        <is>
          <t>BORLÄNGE</t>
        </is>
      </c>
      <c r="F1516" t="inlineStr">
        <is>
          <t>Kommuner</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33187-2019</t>
        </is>
      </c>
      <c r="B1517" s="1" t="n">
        <v>43649</v>
      </c>
      <c r="C1517" s="1" t="n">
        <v>45210</v>
      </c>
      <c r="D1517" t="inlineStr">
        <is>
          <t>DALARNAS LÄN</t>
        </is>
      </c>
      <c r="E1517" t="inlineStr">
        <is>
          <t>MORA</t>
        </is>
      </c>
      <c r="G1517" t="n">
        <v>7.1</v>
      </c>
      <c r="H1517" t="n">
        <v>0</v>
      </c>
      <c r="I1517" t="n">
        <v>0</v>
      </c>
      <c r="J1517" t="n">
        <v>0</v>
      </c>
      <c r="K1517" t="n">
        <v>0</v>
      </c>
      <c r="L1517" t="n">
        <v>0</v>
      </c>
      <c r="M1517" t="n">
        <v>0</v>
      </c>
      <c r="N1517" t="n">
        <v>0</v>
      </c>
      <c r="O1517" t="n">
        <v>0</v>
      </c>
      <c r="P1517" t="n">
        <v>0</v>
      </c>
      <c r="Q1517" t="n">
        <v>0</v>
      </c>
      <c r="R1517" s="2" t="inlineStr"/>
    </row>
    <row r="1518" ht="15" customHeight="1">
      <c r="A1518" t="inlineStr">
        <is>
          <t>A 33184-2019</t>
        </is>
      </c>
      <c r="B1518" s="1" t="n">
        <v>43649</v>
      </c>
      <c r="C1518" s="1" t="n">
        <v>45210</v>
      </c>
      <c r="D1518" t="inlineStr">
        <is>
          <t>DALARNAS LÄN</t>
        </is>
      </c>
      <c r="E1518" t="inlineStr">
        <is>
          <t>MORA</t>
        </is>
      </c>
      <c r="G1518" t="n">
        <v>8.1</v>
      </c>
      <c r="H1518" t="n">
        <v>0</v>
      </c>
      <c r="I1518" t="n">
        <v>0</v>
      </c>
      <c r="J1518" t="n">
        <v>0</v>
      </c>
      <c r="K1518" t="n">
        <v>0</v>
      </c>
      <c r="L1518" t="n">
        <v>0</v>
      </c>
      <c r="M1518" t="n">
        <v>0</v>
      </c>
      <c r="N1518" t="n">
        <v>0</v>
      </c>
      <c r="O1518" t="n">
        <v>0</v>
      </c>
      <c r="P1518" t="n">
        <v>0</v>
      </c>
      <c r="Q1518" t="n">
        <v>0</v>
      </c>
      <c r="R1518" s="2" t="inlineStr"/>
    </row>
    <row r="1519" ht="15" customHeight="1">
      <c r="A1519" t="inlineStr">
        <is>
          <t>A 33318-2019</t>
        </is>
      </c>
      <c r="B1519" s="1" t="n">
        <v>43650</v>
      </c>
      <c r="C1519" s="1" t="n">
        <v>45210</v>
      </c>
      <c r="D1519" t="inlineStr">
        <is>
          <t>DALARNAS LÄN</t>
        </is>
      </c>
      <c r="E1519" t="inlineStr">
        <is>
          <t>MORA</t>
        </is>
      </c>
      <c r="G1519" t="n">
        <v>11.8</v>
      </c>
      <c r="H1519" t="n">
        <v>0</v>
      </c>
      <c r="I1519" t="n">
        <v>0</v>
      </c>
      <c r="J1519" t="n">
        <v>0</v>
      </c>
      <c r="K1519" t="n">
        <v>0</v>
      </c>
      <c r="L1519" t="n">
        <v>0</v>
      </c>
      <c r="M1519" t="n">
        <v>0</v>
      </c>
      <c r="N1519" t="n">
        <v>0</v>
      </c>
      <c r="O1519" t="n">
        <v>0</v>
      </c>
      <c r="P1519" t="n">
        <v>0</v>
      </c>
      <c r="Q1519" t="n">
        <v>0</v>
      </c>
      <c r="R1519" s="2" t="inlineStr"/>
    </row>
    <row r="1520" ht="15" customHeight="1">
      <c r="A1520" t="inlineStr">
        <is>
          <t>A 33229-2019</t>
        </is>
      </c>
      <c r="B1520" s="1" t="n">
        <v>43650</v>
      </c>
      <c r="C1520" s="1" t="n">
        <v>45210</v>
      </c>
      <c r="D1520" t="inlineStr">
        <is>
          <t>DALARNAS LÄN</t>
        </is>
      </c>
      <c r="E1520" t="inlineStr">
        <is>
          <t>GAGNEF</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33227-2019</t>
        </is>
      </c>
      <c r="B1521" s="1" t="n">
        <v>43650</v>
      </c>
      <c r="C1521" s="1" t="n">
        <v>45210</v>
      </c>
      <c r="D1521" t="inlineStr">
        <is>
          <t>DALARNAS LÄN</t>
        </is>
      </c>
      <c r="E1521" t="inlineStr">
        <is>
          <t>GAGNEF</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35215-2019</t>
        </is>
      </c>
      <c r="B1522" s="1" t="n">
        <v>43651</v>
      </c>
      <c r="C1522" s="1" t="n">
        <v>45210</v>
      </c>
      <c r="D1522" t="inlineStr">
        <is>
          <t>DALARNAS LÄN</t>
        </is>
      </c>
      <c r="E1522" t="inlineStr">
        <is>
          <t>RÄTTVIK</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33559-2019</t>
        </is>
      </c>
      <c r="B1523" s="1" t="n">
        <v>43651</v>
      </c>
      <c r="C1523" s="1" t="n">
        <v>45210</v>
      </c>
      <c r="D1523" t="inlineStr">
        <is>
          <t>DALARNAS LÄN</t>
        </is>
      </c>
      <c r="E1523" t="inlineStr">
        <is>
          <t>MALUNG-SÄLEN</t>
        </is>
      </c>
      <c r="G1523" t="n">
        <v>14.1</v>
      </c>
      <c r="H1523" t="n">
        <v>0</v>
      </c>
      <c r="I1523" t="n">
        <v>0</v>
      </c>
      <c r="J1523" t="n">
        <v>0</v>
      </c>
      <c r="K1523" t="n">
        <v>0</v>
      </c>
      <c r="L1523" t="n">
        <v>0</v>
      </c>
      <c r="M1523" t="n">
        <v>0</v>
      </c>
      <c r="N1523" t="n">
        <v>0</v>
      </c>
      <c r="O1523" t="n">
        <v>0</v>
      </c>
      <c r="P1523" t="n">
        <v>0</v>
      </c>
      <c r="Q1523" t="n">
        <v>0</v>
      </c>
      <c r="R1523" s="2" t="inlineStr"/>
    </row>
    <row r="1524" ht="15" customHeight="1">
      <c r="A1524" t="inlineStr">
        <is>
          <t>A 35211-2019</t>
        </is>
      </c>
      <c r="B1524" s="1" t="n">
        <v>43651</v>
      </c>
      <c r="C1524" s="1" t="n">
        <v>45210</v>
      </c>
      <c r="D1524" t="inlineStr">
        <is>
          <t>DALARNAS LÄN</t>
        </is>
      </c>
      <c r="E1524" t="inlineStr">
        <is>
          <t>RÄTTVIK</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35360-2019</t>
        </is>
      </c>
      <c r="B1525" s="1" t="n">
        <v>43651</v>
      </c>
      <c r="C1525" s="1" t="n">
        <v>45210</v>
      </c>
      <c r="D1525" t="inlineStr">
        <is>
          <t>DALARNAS LÄN</t>
        </is>
      </c>
      <c r="E1525" t="inlineStr">
        <is>
          <t>MORA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33859-2019</t>
        </is>
      </c>
      <c r="B1526" s="1" t="n">
        <v>43652</v>
      </c>
      <c r="C1526" s="1" t="n">
        <v>45210</v>
      </c>
      <c r="D1526" t="inlineStr">
        <is>
          <t>DALARNAS LÄN</t>
        </is>
      </c>
      <c r="E1526" t="inlineStr">
        <is>
          <t>SMEDJEBACKEN</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33903-2019</t>
        </is>
      </c>
      <c r="B1527" s="1" t="n">
        <v>43654</v>
      </c>
      <c r="C1527" s="1" t="n">
        <v>45210</v>
      </c>
      <c r="D1527" t="inlineStr">
        <is>
          <t>DALARNAS LÄN</t>
        </is>
      </c>
      <c r="E1527" t="inlineStr">
        <is>
          <t>LEKSAND</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34027-2019</t>
        </is>
      </c>
      <c r="B1528" s="1" t="n">
        <v>43654</v>
      </c>
      <c r="C1528" s="1" t="n">
        <v>45210</v>
      </c>
      <c r="D1528" t="inlineStr">
        <is>
          <t>DALARNAS LÄN</t>
        </is>
      </c>
      <c r="E1528" t="inlineStr">
        <is>
          <t>HEDEMORA</t>
        </is>
      </c>
      <c r="G1528" t="n">
        <v>3.7</v>
      </c>
      <c r="H1528" t="n">
        <v>0</v>
      </c>
      <c r="I1528" t="n">
        <v>0</v>
      </c>
      <c r="J1528" t="n">
        <v>0</v>
      </c>
      <c r="K1528" t="n">
        <v>0</v>
      </c>
      <c r="L1528" t="n">
        <v>0</v>
      </c>
      <c r="M1528" t="n">
        <v>0</v>
      </c>
      <c r="N1528" t="n">
        <v>0</v>
      </c>
      <c r="O1528" t="n">
        <v>0</v>
      </c>
      <c r="P1528" t="n">
        <v>0</v>
      </c>
      <c r="Q1528" t="n">
        <v>0</v>
      </c>
      <c r="R1528" s="2" t="inlineStr"/>
    </row>
    <row r="1529" ht="15" customHeight="1">
      <c r="A1529" t="inlineStr">
        <is>
          <t>A 35529-2019</t>
        </is>
      </c>
      <c r="B1529" s="1" t="n">
        <v>43654</v>
      </c>
      <c r="C1529" s="1" t="n">
        <v>45210</v>
      </c>
      <c r="D1529" t="inlineStr">
        <is>
          <t>DALARNAS LÄN</t>
        </is>
      </c>
      <c r="E1529" t="inlineStr">
        <is>
          <t>ÄLVDALEN</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34085-2019</t>
        </is>
      </c>
      <c r="B1530" s="1" t="n">
        <v>43654</v>
      </c>
      <c r="C1530" s="1" t="n">
        <v>45210</v>
      </c>
      <c r="D1530" t="inlineStr">
        <is>
          <t>DALARNAS LÄN</t>
        </is>
      </c>
      <c r="E1530" t="inlineStr">
        <is>
          <t>MALUNG-SÄLEN</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34071-2019</t>
        </is>
      </c>
      <c r="B1531" s="1" t="n">
        <v>43654</v>
      </c>
      <c r="C1531" s="1" t="n">
        <v>45210</v>
      </c>
      <c r="D1531" t="inlineStr">
        <is>
          <t>DALARNAS LÄN</t>
        </is>
      </c>
      <c r="E1531" t="inlineStr">
        <is>
          <t>MALUNG-SÄLEN</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34238-2019</t>
        </is>
      </c>
      <c r="B1532" s="1" t="n">
        <v>43655</v>
      </c>
      <c r="C1532" s="1" t="n">
        <v>45210</v>
      </c>
      <c r="D1532" t="inlineStr">
        <is>
          <t>DALARNAS LÄN</t>
        </is>
      </c>
      <c r="E1532" t="inlineStr">
        <is>
          <t>SÄTER</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34198-2019</t>
        </is>
      </c>
      <c r="B1533" s="1" t="n">
        <v>43655</v>
      </c>
      <c r="C1533" s="1" t="n">
        <v>45210</v>
      </c>
      <c r="D1533" t="inlineStr">
        <is>
          <t>DALARNAS LÄN</t>
        </is>
      </c>
      <c r="E1533" t="inlineStr">
        <is>
          <t>SÄTER</t>
        </is>
      </c>
      <c r="F1533" t="inlineStr">
        <is>
          <t>Bergvik skog väst AB</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34161-2019</t>
        </is>
      </c>
      <c r="B1534" s="1" t="n">
        <v>43655</v>
      </c>
      <c r="C1534" s="1" t="n">
        <v>45210</v>
      </c>
      <c r="D1534" t="inlineStr">
        <is>
          <t>DALARNAS LÄN</t>
        </is>
      </c>
      <c r="E1534" t="inlineStr">
        <is>
          <t>GAGNEF</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34257-2019</t>
        </is>
      </c>
      <c r="B1535" s="1" t="n">
        <v>43655</v>
      </c>
      <c r="C1535" s="1" t="n">
        <v>45210</v>
      </c>
      <c r="D1535" t="inlineStr">
        <is>
          <t>DALARNAS LÄN</t>
        </is>
      </c>
      <c r="E1535" t="inlineStr">
        <is>
          <t>ORSA</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35793-2019</t>
        </is>
      </c>
      <c r="B1536" s="1" t="n">
        <v>43656</v>
      </c>
      <c r="C1536" s="1" t="n">
        <v>45210</v>
      </c>
      <c r="D1536" t="inlineStr">
        <is>
          <t>DALARNAS LÄN</t>
        </is>
      </c>
      <c r="E1536" t="inlineStr">
        <is>
          <t>MALUNG-SÄLEN</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34330-2019</t>
        </is>
      </c>
      <c r="B1537" s="1" t="n">
        <v>43656</v>
      </c>
      <c r="C1537" s="1" t="n">
        <v>45210</v>
      </c>
      <c r="D1537" t="inlineStr">
        <is>
          <t>DALARNAS LÄN</t>
        </is>
      </c>
      <c r="E1537" t="inlineStr">
        <is>
          <t>MORA</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34404-2019</t>
        </is>
      </c>
      <c r="B1538" s="1" t="n">
        <v>43656</v>
      </c>
      <c r="C1538" s="1" t="n">
        <v>45210</v>
      </c>
      <c r="D1538" t="inlineStr">
        <is>
          <t>DALARNAS LÄN</t>
        </is>
      </c>
      <c r="E1538" t="inlineStr">
        <is>
          <t>GAGNEF</t>
        </is>
      </c>
      <c r="F1538" t="inlineStr">
        <is>
          <t>Bergvik skog väst AB</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34472-2019</t>
        </is>
      </c>
      <c r="B1539" s="1" t="n">
        <v>43656</v>
      </c>
      <c r="C1539" s="1" t="n">
        <v>45210</v>
      </c>
      <c r="D1539" t="inlineStr">
        <is>
          <t>DALARNAS LÄN</t>
        </is>
      </c>
      <c r="E1539" t="inlineStr">
        <is>
          <t>LUDVIKA</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34329-2019</t>
        </is>
      </c>
      <c r="B1540" s="1" t="n">
        <v>43656</v>
      </c>
      <c r="C1540" s="1" t="n">
        <v>45210</v>
      </c>
      <c r="D1540" t="inlineStr">
        <is>
          <t>DALARNAS LÄN</t>
        </is>
      </c>
      <c r="E1540" t="inlineStr">
        <is>
          <t>RÄTTVIK</t>
        </is>
      </c>
      <c r="G1540" t="n">
        <v>4.2</v>
      </c>
      <c r="H1540" t="n">
        <v>0</v>
      </c>
      <c r="I1540" t="n">
        <v>0</v>
      </c>
      <c r="J1540" t="n">
        <v>0</v>
      </c>
      <c r="K1540" t="n">
        <v>0</v>
      </c>
      <c r="L1540" t="n">
        <v>0</v>
      </c>
      <c r="M1540" t="n">
        <v>0</v>
      </c>
      <c r="N1540" t="n">
        <v>0</v>
      </c>
      <c r="O1540" t="n">
        <v>0</v>
      </c>
      <c r="P1540" t="n">
        <v>0</v>
      </c>
      <c r="Q1540" t="n">
        <v>0</v>
      </c>
      <c r="R1540" s="2" t="inlineStr"/>
    </row>
    <row r="1541" ht="15" customHeight="1">
      <c r="A1541" t="inlineStr">
        <is>
          <t>A 36006-2019</t>
        </is>
      </c>
      <c r="B1541" s="1" t="n">
        <v>43657</v>
      </c>
      <c r="C1541" s="1" t="n">
        <v>45210</v>
      </c>
      <c r="D1541" t="inlineStr">
        <is>
          <t>DALARNAS LÄN</t>
        </is>
      </c>
      <c r="E1541" t="inlineStr">
        <is>
          <t>MALUNG-SÄLEN</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36080-2019</t>
        </is>
      </c>
      <c r="B1542" s="1" t="n">
        <v>43657</v>
      </c>
      <c r="C1542" s="1" t="n">
        <v>45210</v>
      </c>
      <c r="D1542" t="inlineStr">
        <is>
          <t>DALARNAS LÄN</t>
        </is>
      </c>
      <c r="E1542" t="inlineStr">
        <is>
          <t>ÄLVDALEN</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36023-2019</t>
        </is>
      </c>
      <c r="B1543" s="1" t="n">
        <v>43657</v>
      </c>
      <c r="C1543" s="1" t="n">
        <v>45210</v>
      </c>
      <c r="D1543" t="inlineStr">
        <is>
          <t>DALARNAS LÄN</t>
        </is>
      </c>
      <c r="E1543" t="inlineStr">
        <is>
          <t>LEKSAND</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34550-2019</t>
        </is>
      </c>
      <c r="B1544" s="1" t="n">
        <v>43657</v>
      </c>
      <c r="C1544" s="1" t="n">
        <v>45210</v>
      </c>
      <c r="D1544" t="inlineStr">
        <is>
          <t>DALARNAS LÄN</t>
        </is>
      </c>
      <c r="E1544" t="inlineStr">
        <is>
          <t>ÄLVDALEN</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36014-2019</t>
        </is>
      </c>
      <c r="B1545" s="1" t="n">
        <v>43657</v>
      </c>
      <c r="C1545" s="1" t="n">
        <v>45210</v>
      </c>
      <c r="D1545" t="inlineStr">
        <is>
          <t>DALARNAS LÄN</t>
        </is>
      </c>
      <c r="E1545" t="inlineStr">
        <is>
          <t>LEKSAND</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34647-2019</t>
        </is>
      </c>
      <c r="B1546" s="1" t="n">
        <v>43657</v>
      </c>
      <c r="C1546" s="1" t="n">
        <v>45210</v>
      </c>
      <c r="D1546" t="inlineStr">
        <is>
          <t>DALARNAS LÄN</t>
        </is>
      </c>
      <c r="E1546" t="inlineStr">
        <is>
          <t>VANSBRO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36028-2019</t>
        </is>
      </c>
      <c r="B1547" s="1" t="n">
        <v>43657</v>
      </c>
      <c r="C1547" s="1" t="n">
        <v>45210</v>
      </c>
      <c r="D1547" t="inlineStr">
        <is>
          <t>DALARNAS LÄN</t>
        </is>
      </c>
      <c r="E1547" t="inlineStr">
        <is>
          <t>RÄTTVIK</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36119-2019</t>
        </is>
      </c>
      <c r="B1548" s="1" t="n">
        <v>43658</v>
      </c>
      <c r="C1548" s="1" t="n">
        <v>45210</v>
      </c>
      <c r="D1548" t="inlineStr">
        <is>
          <t>DALARNAS LÄN</t>
        </is>
      </c>
      <c r="E1548" t="inlineStr">
        <is>
          <t>MALUNG-SÄLEN</t>
        </is>
      </c>
      <c r="F1548" t="inlineStr">
        <is>
          <t>Allmännings- och besparingsskogar</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34992-2019</t>
        </is>
      </c>
      <c r="B1549" s="1" t="n">
        <v>43660</v>
      </c>
      <c r="C1549" s="1" t="n">
        <v>45210</v>
      </c>
      <c r="D1549" t="inlineStr">
        <is>
          <t>DALARNAS LÄN</t>
        </is>
      </c>
      <c r="E1549" t="inlineStr">
        <is>
          <t>BORLÄNGE</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36274-2019</t>
        </is>
      </c>
      <c r="B1550" s="1" t="n">
        <v>43661</v>
      </c>
      <c r="C1550" s="1" t="n">
        <v>45210</v>
      </c>
      <c r="D1550" t="inlineStr">
        <is>
          <t>DALARNAS LÄN</t>
        </is>
      </c>
      <c r="E1550" t="inlineStr">
        <is>
          <t>ORSA</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36275-2019</t>
        </is>
      </c>
      <c r="B1551" s="1" t="n">
        <v>43661</v>
      </c>
      <c r="C1551" s="1" t="n">
        <v>45210</v>
      </c>
      <c r="D1551" t="inlineStr">
        <is>
          <t>DALARNAS LÄN</t>
        </is>
      </c>
      <c r="E1551" t="inlineStr">
        <is>
          <t>MORA</t>
        </is>
      </c>
      <c r="G1551" t="n">
        <v>7.3</v>
      </c>
      <c r="H1551" t="n">
        <v>0</v>
      </c>
      <c r="I1551" t="n">
        <v>0</v>
      </c>
      <c r="J1551" t="n">
        <v>0</v>
      </c>
      <c r="K1551" t="n">
        <v>0</v>
      </c>
      <c r="L1551" t="n">
        <v>0</v>
      </c>
      <c r="M1551" t="n">
        <v>0</v>
      </c>
      <c r="N1551" t="n">
        <v>0</v>
      </c>
      <c r="O1551" t="n">
        <v>0</v>
      </c>
      <c r="P1551" t="n">
        <v>0</v>
      </c>
      <c r="Q1551" t="n">
        <v>0</v>
      </c>
      <c r="R1551" s="2" t="inlineStr"/>
    </row>
    <row r="1552" ht="15" customHeight="1">
      <c r="A1552" t="inlineStr">
        <is>
          <t>A 35136-2019</t>
        </is>
      </c>
      <c r="B1552" s="1" t="n">
        <v>43661</v>
      </c>
      <c r="C1552" s="1" t="n">
        <v>45210</v>
      </c>
      <c r="D1552" t="inlineStr">
        <is>
          <t>DALARNAS LÄN</t>
        </is>
      </c>
      <c r="E1552" t="inlineStr">
        <is>
          <t>ÄLVDALEN</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36382-2019</t>
        </is>
      </c>
      <c r="B1553" s="1" t="n">
        <v>43662</v>
      </c>
      <c r="C1553" s="1" t="n">
        <v>45210</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36380-2019</t>
        </is>
      </c>
      <c r="B1554" s="1" t="n">
        <v>43662</v>
      </c>
      <c r="C1554" s="1" t="n">
        <v>45210</v>
      </c>
      <c r="D1554" t="inlineStr">
        <is>
          <t>DALARNAS LÄN</t>
        </is>
      </c>
      <c r="E1554" t="inlineStr">
        <is>
          <t>RÄTTVIK</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35230-2019</t>
        </is>
      </c>
      <c r="B1555" s="1" t="n">
        <v>43662</v>
      </c>
      <c r="C1555" s="1" t="n">
        <v>45210</v>
      </c>
      <c r="D1555" t="inlineStr">
        <is>
          <t>DALARNAS LÄN</t>
        </is>
      </c>
      <c r="E1555" t="inlineStr">
        <is>
          <t>LUDVIKA</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35410-2019</t>
        </is>
      </c>
      <c r="B1556" s="1" t="n">
        <v>43663</v>
      </c>
      <c r="C1556" s="1" t="n">
        <v>45210</v>
      </c>
      <c r="D1556" t="inlineStr">
        <is>
          <t>DALARNAS LÄN</t>
        </is>
      </c>
      <c r="E1556" t="inlineStr">
        <is>
          <t>RÄTTVIK</t>
        </is>
      </c>
      <c r="F1556" t="inlineStr">
        <is>
          <t>Sveaskog</t>
        </is>
      </c>
      <c r="G1556" t="n">
        <v>2</v>
      </c>
      <c r="H1556" t="n">
        <v>0</v>
      </c>
      <c r="I1556" t="n">
        <v>0</v>
      </c>
      <c r="J1556" t="n">
        <v>0</v>
      </c>
      <c r="K1556" t="n">
        <v>0</v>
      </c>
      <c r="L1556" t="n">
        <v>0</v>
      </c>
      <c r="M1556" t="n">
        <v>0</v>
      </c>
      <c r="N1556" t="n">
        <v>0</v>
      </c>
      <c r="O1556" t="n">
        <v>0</v>
      </c>
      <c r="P1556" t="n">
        <v>0</v>
      </c>
      <c r="Q1556" t="n">
        <v>0</v>
      </c>
      <c r="R1556" s="2" t="inlineStr"/>
      <c r="U1556">
        <f>HYPERLINK("https://klasma.github.io/Logging_2031/knärot/A 35410-2019.png", "A 35410-2019")</f>
        <v/>
      </c>
      <c r="V1556">
        <f>HYPERLINK("https://klasma.github.io/Logging_2031/klagomål/A 35410-2019.docx", "A 35410-2019")</f>
        <v/>
      </c>
      <c r="W1556">
        <f>HYPERLINK("https://klasma.github.io/Logging_2031/klagomålsmail/A 35410-2019.docx", "A 35410-2019")</f>
        <v/>
      </c>
      <c r="X1556">
        <f>HYPERLINK("https://klasma.github.io/Logging_2031/tillsyn/A 35410-2019.docx", "A 35410-2019")</f>
        <v/>
      </c>
      <c r="Y1556">
        <f>HYPERLINK("https://klasma.github.io/Logging_2031/tillsynsmail/A 35410-2019.docx", "A 35410-2019")</f>
        <v/>
      </c>
    </row>
    <row r="1557" ht="15" customHeight="1">
      <c r="A1557" t="inlineStr">
        <is>
          <t>A 35457-2019</t>
        </is>
      </c>
      <c r="B1557" s="1" t="n">
        <v>43663</v>
      </c>
      <c r="C1557" s="1" t="n">
        <v>45210</v>
      </c>
      <c r="D1557" t="inlineStr">
        <is>
          <t>DALARNAS LÄN</t>
        </is>
      </c>
      <c r="E1557" t="inlineStr">
        <is>
          <t>ÄLVDALEN</t>
        </is>
      </c>
      <c r="F1557" t="inlineStr">
        <is>
          <t>Sveaskog</t>
        </is>
      </c>
      <c r="G1557" t="n">
        <v>3.8</v>
      </c>
      <c r="H1557" t="n">
        <v>0</v>
      </c>
      <c r="I1557" t="n">
        <v>0</v>
      </c>
      <c r="J1557" t="n">
        <v>0</v>
      </c>
      <c r="K1557" t="n">
        <v>0</v>
      </c>
      <c r="L1557" t="n">
        <v>0</v>
      </c>
      <c r="M1557" t="n">
        <v>0</v>
      </c>
      <c r="N1557" t="n">
        <v>0</v>
      </c>
      <c r="O1557" t="n">
        <v>0</v>
      </c>
      <c r="P1557" t="n">
        <v>0</v>
      </c>
      <c r="Q1557" t="n">
        <v>0</v>
      </c>
      <c r="R1557" s="2" t="inlineStr"/>
    </row>
    <row r="1558" ht="15" customHeight="1">
      <c r="A1558" t="inlineStr">
        <is>
          <t>A 35496-2019</t>
        </is>
      </c>
      <c r="B1558" s="1" t="n">
        <v>43663</v>
      </c>
      <c r="C1558" s="1" t="n">
        <v>45210</v>
      </c>
      <c r="D1558" t="inlineStr">
        <is>
          <t>DALARNAS LÄN</t>
        </is>
      </c>
      <c r="E1558" t="inlineStr">
        <is>
          <t>FALUN</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35463-2019</t>
        </is>
      </c>
      <c r="B1559" s="1" t="n">
        <v>43663</v>
      </c>
      <c r="C1559" s="1" t="n">
        <v>45210</v>
      </c>
      <c r="D1559" t="inlineStr">
        <is>
          <t>DALARNAS LÄN</t>
        </is>
      </c>
      <c r="E1559" t="inlineStr">
        <is>
          <t>ÄLVDALEN</t>
        </is>
      </c>
      <c r="F1559" t="inlineStr">
        <is>
          <t>Sveaskog</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35423-2019</t>
        </is>
      </c>
      <c r="B1560" s="1" t="n">
        <v>43663</v>
      </c>
      <c r="C1560" s="1" t="n">
        <v>45210</v>
      </c>
      <c r="D1560" t="inlineStr">
        <is>
          <t>DALARNAS LÄN</t>
        </is>
      </c>
      <c r="E1560" t="inlineStr">
        <is>
          <t>RÄTTVIK</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35458-2019</t>
        </is>
      </c>
      <c r="B1561" s="1" t="n">
        <v>43663</v>
      </c>
      <c r="C1561" s="1" t="n">
        <v>45210</v>
      </c>
      <c r="D1561" t="inlineStr">
        <is>
          <t>DALARNAS LÄN</t>
        </is>
      </c>
      <c r="E1561" t="inlineStr">
        <is>
          <t>ÄLVDALEN</t>
        </is>
      </c>
      <c r="F1561" t="inlineStr">
        <is>
          <t>Sveaskog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35408-2019</t>
        </is>
      </c>
      <c r="B1562" s="1" t="n">
        <v>43663</v>
      </c>
      <c r="C1562" s="1" t="n">
        <v>45210</v>
      </c>
      <c r="D1562" t="inlineStr">
        <is>
          <t>DALARNAS LÄN</t>
        </is>
      </c>
      <c r="E1562" t="inlineStr">
        <is>
          <t>RÄTTVIK</t>
        </is>
      </c>
      <c r="F1562" t="inlineStr">
        <is>
          <t>Sveaskog</t>
        </is>
      </c>
      <c r="G1562" t="n">
        <v>3.5</v>
      </c>
      <c r="H1562" t="n">
        <v>0</v>
      </c>
      <c r="I1562" t="n">
        <v>0</v>
      </c>
      <c r="J1562" t="n">
        <v>0</v>
      </c>
      <c r="K1562" t="n">
        <v>0</v>
      </c>
      <c r="L1562" t="n">
        <v>0</v>
      </c>
      <c r="M1562" t="n">
        <v>0</v>
      </c>
      <c r="N1562" t="n">
        <v>0</v>
      </c>
      <c r="O1562" t="n">
        <v>0</v>
      </c>
      <c r="P1562" t="n">
        <v>0</v>
      </c>
      <c r="Q1562" t="n">
        <v>0</v>
      </c>
      <c r="R1562" s="2" t="inlineStr"/>
    </row>
    <row r="1563" ht="15" customHeight="1">
      <c r="A1563" t="inlineStr">
        <is>
          <t>A 35418-2019</t>
        </is>
      </c>
      <c r="B1563" s="1" t="n">
        <v>43663</v>
      </c>
      <c r="C1563" s="1" t="n">
        <v>45210</v>
      </c>
      <c r="D1563" t="inlineStr">
        <is>
          <t>DALARNAS LÄN</t>
        </is>
      </c>
      <c r="E1563" t="inlineStr">
        <is>
          <t>RÄTTVIK</t>
        </is>
      </c>
      <c r="F1563" t="inlineStr">
        <is>
          <t>Sveaskog</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35663-2019</t>
        </is>
      </c>
      <c r="B1564" s="1" t="n">
        <v>43664</v>
      </c>
      <c r="C1564" s="1" t="n">
        <v>45210</v>
      </c>
      <c r="D1564" t="inlineStr">
        <is>
          <t>DALARNAS LÄN</t>
        </is>
      </c>
      <c r="E1564" t="inlineStr">
        <is>
          <t>ORSA</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35708-2019</t>
        </is>
      </c>
      <c r="B1565" s="1" t="n">
        <v>43664</v>
      </c>
      <c r="C1565" s="1" t="n">
        <v>45210</v>
      </c>
      <c r="D1565" t="inlineStr">
        <is>
          <t>DALARNAS LÄN</t>
        </is>
      </c>
      <c r="E1565" t="inlineStr">
        <is>
          <t>ÄLVDALEN</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35609-2019</t>
        </is>
      </c>
      <c r="B1566" s="1" t="n">
        <v>43664</v>
      </c>
      <c r="C1566" s="1" t="n">
        <v>45210</v>
      </c>
      <c r="D1566" t="inlineStr">
        <is>
          <t>DALARNAS LÄN</t>
        </is>
      </c>
      <c r="E1566" t="inlineStr">
        <is>
          <t>ÄLVDALEN</t>
        </is>
      </c>
      <c r="F1566" t="inlineStr">
        <is>
          <t>Övriga Aktiebolag</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35707-2019</t>
        </is>
      </c>
      <c r="B1567" s="1" t="n">
        <v>43664</v>
      </c>
      <c r="C1567" s="1" t="n">
        <v>45210</v>
      </c>
      <c r="D1567" t="inlineStr">
        <is>
          <t>DALARNAS LÄN</t>
        </is>
      </c>
      <c r="E1567" t="inlineStr">
        <is>
          <t>ÄLVDALEN</t>
        </is>
      </c>
      <c r="G1567" t="n">
        <v>4.8</v>
      </c>
      <c r="H1567" t="n">
        <v>0</v>
      </c>
      <c r="I1567" t="n">
        <v>0</v>
      </c>
      <c r="J1567" t="n">
        <v>0</v>
      </c>
      <c r="K1567" t="n">
        <v>0</v>
      </c>
      <c r="L1567" t="n">
        <v>0</v>
      </c>
      <c r="M1567" t="n">
        <v>0</v>
      </c>
      <c r="N1567" t="n">
        <v>0</v>
      </c>
      <c r="O1567" t="n">
        <v>0</v>
      </c>
      <c r="P1567" t="n">
        <v>0</v>
      </c>
      <c r="Q1567" t="n">
        <v>0</v>
      </c>
      <c r="R1567" s="2" t="inlineStr"/>
    </row>
    <row r="1568" ht="15" customHeight="1">
      <c r="A1568" t="inlineStr">
        <is>
          <t>A 35578-2019</t>
        </is>
      </c>
      <c r="B1568" s="1" t="n">
        <v>43664</v>
      </c>
      <c r="C1568" s="1" t="n">
        <v>45210</v>
      </c>
      <c r="D1568" t="inlineStr">
        <is>
          <t>DALARNAS LÄN</t>
        </is>
      </c>
      <c r="E1568" t="inlineStr">
        <is>
          <t>AVESTA</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35634-2019</t>
        </is>
      </c>
      <c r="B1569" s="1" t="n">
        <v>43664</v>
      </c>
      <c r="C1569" s="1" t="n">
        <v>45210</v>
      </c>
      <c r="D1569" t="inlineStr">
        <is>
          <t>DALARNAS LÄN</t>
        </is>
      </c>
      <c r="E1569" t="inlineStr">
        <is>
          <t>LUDVIKA</t>
        </is>
      </c>
      <c r="F1569" t="inlineStr">
        <is>
          <t>Bergvik skog väst AB</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36440-2019</t>
        </is>
      </c>
      <c r="B1570" s="1" t="n">
        <v>43664</v>
      </c>
      <c r="C1570" s="1" t="n">
        <v>45210</v>
      </c>
      <c r="D1570" t="inlineStr">
        <is>
          <t>DALARNAS LÄN</t>
        </is>
      </c>
      <c r="E1570" t="inlineStr">
        <is>
          <t>MORA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35855-2019</t>
        </is>
      </c>
      <c r="B1571" s="1" t="n">
        <v>43665</v>
      </c>
      <c r="C1571" s="1" t="n">
        <v>45210</v>
      </c>
      <c r="D1571" t="inlineStr">
        <is>
          <t>DALARNAS LÄN</t>
        </is>
      </c>
      <c r="E1571" t="inlineStr">
        <is>
          <t>HEDEMORA</t>
        </is>
      </c>
      <c r="F1571" t="inlineStr">
        <is>
          <t>Sveaskog</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36010-2019</t>
        </is>
      </c>
      <c r="B1572" s="1" t="n">
        <v>43668</v>
      </c>
      <c r="C1572" s="1" t="n">
        <v>45210</v>
      </c>
      <c r="D1572" t="inlineStr">
        <is>
          <t>DALARNAS LÄN</t>
        </is>
      </c>
      <c r="E1572" t="inlineStr">
        <is>
          <t>AVESTA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36063-2019</t>
        </is>
      </c>
      <c r="B1573" s="1" t="n">
        <v>43668</v>
      </c>
      <c r="C1573" s="1" t="n">
        <v>45210</v>
      </c>
      <c r="D1573" t="inlineStr">
        <is>
          <t>DALARNAS LÄN</t>
        </is>
      </c>
      <c r="E1573" t="inlineStr">
        <is>
          <t>ÄLVDALEN</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36079-2019</t>
        </is>
      </c>
      <c r="B1574" s="1" t="n">
        <v>43668</v>
      </c>
      <c r="C1574" s="1" t="n">
        <v>45210</v>
      </c>
      <c r="D1574" t="inlineStr">
        <is>
          <t>DALARNAS LÄN</t>
        </is>
      </c>
      <c r="E1574" t="inlineStr">
        <is>
          <t>FALUN</t>
        </is>
      </c>
      <c r="F1574" t="inlineStr">
        <is>
          <t>Bergvik skog väst AB</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36482-2019</t>
        </is>
      </c>
      <c r="B1575" s="1" t="n">
        <v>43668</v>
      </c>
      <c r="C1575" s="1" t="n">
        <v>45210</v>
      </c>
      <c r="D1575" t="inlineStr">
        <is>
          <t>DALARNAS LÄN</t>
        </is>
      </c>
      <c r="E1575" t="inlineStr">
        <is>
          <t>ÄLVDALEN</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36025-2019</t>
        </is>
      </c>
      <c r="B1576" s="1" t="n">
        <v>43668</v>
      </c>
      <c r="C1576" s="1" t="n">
        <v>45210</v>
      </c>
      <c r="D1576" t="inlineStr">
        <is>
          <t>DALARNAS LÄN</t>
        </is>
      </c>
      <c r="E1576" t="inlineStr">
        <is>
          <t>AVESTA</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36287-2019</t>
        </is>
      </c>
      <c r="B1577" s="1" t="n">
        <v>43669</v>
      </c>
      <c r="C1577" s="1" t="n">
        <v>45210</v>
      </c>
      <c r="D1577" t="inlineStr">
        <is>
          <t>DALARNAS LÄN</t>
        </is>
      </c>
      <c r="E1577" t="inlineStr">
        <is>
          <t>LEKSAND</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36381-2019</t>
        </is>
      </c>
      <c r="B1578" s="1" t="n">
        <v>43670</v>
      </c>
      <c r="C1578" s="1" t="n">
        <v>45210</v>
      </c>
      <c r="D1578" t="inlineStr">
        <is>
          <t>DALARNAS LÄN</t>
        </is>
      </c>
      <c r="E1578" t="inlineStr">
        <is>
          <t>FALUN</t>
        </is>
      </c>
      <c r="F1578" t="inlineStr">
        <is>
          <t>Bergvik skog väst AB</t>
        </is>
      </c>
      <c r="G1578" t="n">
        <v>0.3</v>
      </c>
      <c r="H1578" t="n">
        <v>0</v>
      </c>
      <c r="I1578" t="n">
        <v>0</v>
      </c>
      <c r="J1578" t="n">
        <v>0</v>
      </c>
      <c r="K1578" t="n">
        <v>0</v>
      </c>
      <c r="L1578" t="n">
        <v>0</v>
      </c>
      <c r="M1578" t="n">
        <v>0</v>
      </c>
      <c r="N1578" t="n">
        <v>0</v>
      </c>
      <c r="O1578" t="n">
        <v>0</v>
      </c>
      <c r="P1578" t="n">
        <v>0</v>
      </c>
      <c r="Q1578" t="n">
        <v>0</v>
      </c>
      <c r="R1578" s="2" t="inlineStr"/>
    </row>
    <row r="1579" ht="15" customHeight="1">
      <c r="A1579" t="inlineStr">
        <is>
          <t>A 36798-2019</t>
        </is>
      </c>
      <c r="B1579" s="1" t="n">
        <v>43672</v>
      </c>
      <c r="C1579" s="1" t="n">
        <v>45210</v>
      </c>
      <c r="D1579" t="inlineStr">
        <is>
          <t>DALARNAS LÄN</t>
        </is>
      </c>
      <c r="E1579" t="inlineStr">
        <is>
          <t>GAGNEF</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36729-2019</t>
        </is>
      </c>
      <c r="B1580" s="1" t="n">
        <v>43672</v>
      </c>
      <c r="C1580" s="1" t="n">
        <v>45210</v>
      </c>
      <c r="D1580" t="inlineStr">
        <is>
          <t>DALARNAS LÄN</t>
        </is>
      </c>
      <c r="E1580" t="inlineStr">
        <is>
          <t>FALUN</t>
        </is>
      </c>
      <c r="F1580" t="inlineStr">
        <is>
          <t>Kyrkan</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36800-2019</t>
        </is>
      </c>
      <c r="B1581" s="1" t="n">
        <v>43672</v>
      </c>
      <c r="C1581" s="1" t="n">
        <v>45210</v>
      </c>
      <c r="D1581" t="inlineStr">
        <is>
          <t>DALARNAS LÄN</t>
        </is>
      </c>
      <c r="E1581" t="inlineStr">
        <is>
          <t>VANSBRO</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36726-2019</t>
        </is>
      </c>
      <c r="B1582" s="1" t="n">
        <v>43672</v>
      </c>
      <c r="C1582" s="1" t="n">
        <v>45210</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36797-2019</t>
        </is>
      </c>
      <c r="B1583" s="1" t="n">
        <v>43672</v>
      </c>
      <c r="C1583" s="1" t="n">
        <v>45210</v>
      </c>
      <c r="D1583" t="inlineStr">
        <is>
          <t>DALARNAS LÄN</t>
        </is>
      </c>
      <c r="E1583" t="inlineStr">
        <is>
          <t>GAGNEF</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36823-2019</t>
        </is>
      </c>
      <c r="B1584" s="1" t="n">
        <v>43674</v>
      </c>
      <c r="C1584" s="1" t="n">
        <v>45210</v>
      </c>
      <c r="D1584" t="inlineStr">
        <is>
          <t>DALARNAS LÄN</t>
        </is>
      </c>
      <c r="E1584" t="inlineStr">
        <is>
          <t>AVESTA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36824-2019</t>
        </is>
      </c>
      <c r="B1585" s="1" t="n">
        <v>43674</v>
      </c>
      <c r="C1585" s="1" t="n">
        <v>45210</v>
      </c>
      <c r="D1585" t="inlineStr">
        <is>
          <t>DALARNAS LÄN</t>
        </is>
      </c>
      <c r="E1585" t="inlineStr">
        <is>
          <t>AVESTA</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36878-2019</t>
        </is>
      </c>
      <c r="B1586" s="1" t="n">
        <v>43675</v>
      </c>
      <c r="C1586" s="1" t="n">
        <v>45210</v>
      </c>
      <c r="D1586" t="inlineStr">
        <is>
          <t>DALARNAS LÄN</t>
        </is>
      </c>
      <c r="E1586" t="inlineStr">
        <is>
          <t>MALUNG-SÄLEN</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37801-2019</t>
        </is>
      </c>
      <c r="B1587" s="1" t="n">
        <v>43675</v>
      </c>
      <c r="C1587" s="1" t="n">
        <v>45210</v>
      </c>
      <c r="D1587" t="inlineStr">
        <is>
          <t>DALARNAS LÄN</t>
        </is>
      </c>
      <c r="E1587" t="inlineStr">
        <is>
          <t>MORA</t>
        </is>
      </c>
      <c r="F1587" t="inlineStr">
        <is>
          <t>Allmännings- och besparingsskogar</t>
        </is>
      </c>
      <c r="G1587" t="n">
        <v>6.2</v>
      </c>
      <c r="H1587" t="n">
        <v>0</v>
      </c>
      <c r="I1587" t="n">
        <v>0</v>
      </c>
      <c r="J1587" t="n">
        <v>0</v>
      </c>
      <c r="K1587" t="n">
        <v>0</v>
      </c>
      <c r="L1587" t="n">
        <v>0</v>
      </c>
      <c r="M1587" t="n">
        <v>0</v>
      </c>
      <c r="N1587" t="n">
        <v>0</v>
      </c>
      <c r="O1587" t="n">
        <v>0</v>
      </c>
      <c r="P1587" t="n">
        <v>0</v>
      </c>
      <c r="Q1587" t="n">
        <v>0</v>
      </c>
      <c r="R1587" s="2" t="inlineStr"/>
    </row>
    <row r="1588" ht="15" customHeight="1">
      <c r="A1588" t="inlineStr">
        <is>
          <t>A 36873-2019</t>
        </is>
      </c>
      <c r="B1588" s="1" t="n">
        <v>43675</v>
      </c>
      <c r="C1588" s="1" t="n">
        <v>45210</v>
      </c>
      <c r="D1588" t="inlineStr">
        <is>
          <t>DALARNAS LÄN</t>
        </is>
      </c>
      <c r="E1588" t="inlineStr">
        <is>
          <t>MALUNG-SÄLEN</t>
        </is>
      </c>
      <c r="F1588" t="inlineStr">
        <is>
          <t>Allmännings- och besparingsskogar</t>
        </is>
      </c>
      <c r="G1588" t="n">
        <v>16.3</v>
      </c>
      <c r="H1588" t="n">
        <v>0</v>
      </c>
      <c r="I1588" t="n">
        <v>0</v>
      </c>
      <c r="J1588" t="n">
        <v>0</v>
      </c>
      <c r="K1588" t="n">
        <v>0</v>
      </c>
      <c r="L1588" t="n">
        <v>0</v>
      </c>
      <c r="M1588" t="n">
        <v>0</v>
      </c>
      <c r="N1588" t="n">
        <v>0</v>
      </c>
      <c r="O1588" t="n">
        <v>0</v>
      </c>
      <c r="P1588" t="n">
        <v>0</v>
      </c>
      <c r="Q1588" t="n">
        <v>0</v>
      </c>
      <c r="R1588" s="2" t="inlineStr"/>
    </row>
    <row r="1589" ht="15" customHeight="1">
      <c r="A1589" t="inlineStr">
        <is>
          <t>A 36933-2019</t>
        </is>
      </c>
      <c r="B1589" s="1" t="n">
        <v>43675</v>
      </c>
      <c r="C1589" s="1" t="n">
        <v>45210</v>
      </c>
      <c r="D1589" t="inlineStr">
        <is>
          <t>DALARNAS LÄN</t>
        </is>
      </c>
      <c r="E1589" t="inlineStr">
        <is>
          <t>GAGNEF</t>
        </is>
      </c>
      <c r="F1589" t="inlineStr">
        <is>
          <t>Bergvik skog väst AB</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37816-2019</t>
        </is>
      </c>
      <c r="B1590" s="1" t="n">
        <v>43675</v>
      </c>
      <c r="C1590" s="1" t="n">
        <v>45210</v>
      </c>
      <c r="D1590" t="inlineStr">
        <is>
          <t>DALARNAS LÄN</t>
        </is>
      </c>
      <c r="E1590" t="inlineStr">
        <is>
          <t>MORA</t>
        </is>
      </c>
      <c r="F1590" t="inlineStr">
        <is>
          <t>Allmännings- och besparingsskogar</t>
        </is>
      </c>
      <c r="G1590" t="n">
        <v>29.9</v>
      </c>
      <c r="H1590" t="n">
        <v>0</v>
      </c>
      <c r="I1590" t="n">
        <v>0</v>
      </c>
      <c r="J1590" t="n">
        <v>0</v>
      </c>
      <c r="K1590" t="n">
        <v>0</v>
      </c>
      <c r="L1590" t="n">
        <v>0</v>
      </c>
      <c r="M1590" t="n">
        <v>0</v>
      </c>
      <c r="N1590" t="n">
        <v>0</v>
      </c>
      <c r="O1590" t="n">
        <v>0</v>
      </c>
      <c r="P1590" t="n">
        <v>0</v>
      </c>
      <c r="Q1590" t="n">
        <v>0</v>
      </c>
      <c r="R1590" s="2" t="inlineStr"/>
    </row>
    <row r="1591" ht="15" customHeight="1">
      <c r="A1591" t="inlineStr">
        <is>
          <t>A 37001-2019</t>
        </is>
      </c>
      <c r="B1591" s="1" t="n">
        <v>43676</v>
      </c>
      <c r="C1591" s="1" t="n">
        <v>45210</v>
      </c>
      <c r="D1591" t="inlineStr">
        <is>
          <t>DALARNAS LÄN</t>
        </is>
      </c>
      <c r="E1591" t="inlineStr">
        <is>
          <t>ORSA</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36991-2019</t>
        </is>
      </c>
      <c r="B1592" s="1" t="n">
        <v>43676</v>
      </c>
      <c r="C1592" s="1" t="n">
        <v>45210</v>
      </c>
      <c r="D1592" t="inlineStr">
        <is>
          <t>DALARNAS LÄN</t>
        </is>
      </c>
      <c r="E1592" t="inlineStr">
        <is>
          <t>MORA</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36989-2019</t>
        </is>
      </c>
      <c r="B1593" s="1" t="n">
        <v>43676</v>
      </c>
      <c r="C1593" s="1" t="n">
        <v>45210</v>
      </c>
      <c r="D1593" t="inlineStr">
        <is>
          <t>DALARNAS LÄN</t>
        </is>
      </c>
      <c r="E1593" t="inlineStr">
        <is>
          <t>ORSA</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37055-2019</t>
        </is>
      </c>
      <c r="B1594" s="1" t="n">
        <v>43676</v>
      </c>
      <c r="C1594" s="1" t="n">
        <v>45210</v>
      </c>
      <c r="D1594" t="inlineStr">
        <is>
          <t>DALARNAS LÄN</t>
        </is>
      </c>
      <c r="E1594" t="inlineStr">
        <is>
          <t>FALUN</t>
        </is>
      </c>
      <c r="F1594" t="inlineStr">
        <is>
          <t>Kyrkan</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37179-2019</t>
        </is>
      </c>
      <c r="B1595" s="1" t="n">
        <v>43677</v>
      </c>
      <c r="C1595" s="1" t="n">
        <v>45210</v>
      </c>
      <c r="D1595" t="inlineStr">
        <is>
          <t>DALARNAS LÄN</t>
        </is>
      </c>
      <c r="E1595" t="inlineStr">
        <is>
          <t>MALUNG-SÄLEN</t>
        </is>
      </c>
      <c r="G1595" t="n">
        <v>5.5</v>
      </c>
      <c r="H1595" t="n">
        <v>0</v>
      </c>
      <c r="I1595" t="n">
        <v>0</v>
      </c>
      <c r="J1595" t="n">
        <v>0</v>
      </c>
      <c r="K1595" t="n">
        <v>0</v>
      </c>
      <c r="L1595" t="n">
        <v>0</v>
      </c>
      <c r="M1595" t="n">
        <v>0</v>
      </c>
      <c r="N1595" t="n">
        <v>0</v>
      </c>
      <c r="O1595" t="n">
        <v>0</v>
      </c>
      <c r="P1595" t="n">
        <v>0</v>
      </c>
      <c r="Q1595" t="n">
        <v>0</v>
      </c>
      <c r="R1595" s="2" t="inlineStr"/>
    </row>
    <row r="1596" ht="15" customHeight="1">
      <c r="A1596" t="inlineStr">
        <is>
          <t>A 37368-2019</t>
        </is>
      </c>
      <c r="B1596" s="1" t="n">
        <v>43678</v>
      </c>
      <c r="C1596" s="1" t="n">
        <v>45210</v>
      </c>
      <c r="D1596" t="inlineStr">
        <is>
          <t>DALARNAS LÄN</t>
        </is>
      </c>
      <c r="E1596" t="inlineStr">
        <is>
          <t>SMEDJEBACKEN</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37536-2019</t>
        </is>
      </c>
      <c r="B1597" s="1" t="n">
        <v>43679</v>
      </c>
      <c r="C1597" s="1" t="n">
        <v>45210</v>
      </c>
      <c r="D1597" t="inlineStr">
        <is>
          <t>DALARNAS LÄN</t>
        </is>
      </c>
      <c r="E1597" t="inlineStr">
        <is>
          <t>VANSBRO</t>
        </is>
      </c>
      <c r="F1597" t="inlineStr">
        <is>
          <t>Kyrkan</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37612-2019</t>
        </is>
      </c>
      <c r="B1598" s="1" t="n">
        <v>43681</v>
      </c>
      <c r="C1598" s="1" t="n">
        <v>45210</v>
      </c>
      <c r="D1598" t="inlineStr">
        <is>
          <t>DALARNAS LÄN</t>
        </is>
      </c>
      <c r="E1598" t="inlineStr">
        <is>
          <t>LUDVIKA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37822-2019</t>
        </is>
      </c>
      <c r="B1599" s="1" t="n">
        <v>43682</v>
      </c>
      <c r="C1599" s="1" t="n">
        <v>45210</v>
      </c>
      <c r="D1599" t="inlineStr">
        <is>
          <t>DALARNAS LÄN</t>
        </is>
      </c>
      <c r="E1599" t="inlineStr">
        <is>
          <t>LEKSAND</t>
        </is>
      </c>
      <c r="G1599" t="n">
        <v>8.9</v>
      </c>
      <c r="H1599" t="n">
        <v>0</v>
      </c>
      <c r="I1599" t="n">
        <v>0</v>
      </c>
      <c r="J1599" t="n">
        <v>0</v>
      </c>
      <c r="K1599" t="n">
        <v>0</v>
      </c>
      <c r="L1599" t="n">
        <v>0</v>
      </c>
      <c r="M1599" t="n">
        <v>0</v>
      </c>
      <c r="N1599" t="n">
        <v>0</v>
      </c>
      <c r="O1599" t="n">
        <v>0</v>
      </c>
      <c r="P1599" t="n">
        <v>0</v>
      </c>
      <c r="Q1599" t="n">
        <v>0</v>
      </c>
      <c r="R1599" s="2" t="inlineStr"/>
    </row>
    <row r="1600" ht="15" customHeight="1">
      <c r="A1600" t="inlineStr">
        <is>
          <t>A 38821-2019</t>
        </is>
      </c>
      <c r="B1600" s="1" t="n">
        <v>43682</v>
      </c>
      <c r="C1600" s="1" t="n">
        <v>45210</v>
      </c>
      <c r="D1600" t="inlineStr">
        <is>
          <t>DALARNAS LÄN</t>
        </is>
      </c>
      <c r="E1600" t="inlineStr">
        <is>
          <t>MORA</t>
        </is>
      </c>
      <c r="F1600" t="inlineStr">
        <is>
          <t>Allmännings- och besparingsskogar</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37645-2019</t>
        </is>
      </c>
      <c r="B1601" s="1" t="n">
        <v>43682</v>
      </c>
      <c r="C1601" s="1" t="n">
        <v>45210</v>
      </c>
      <c r="D1601" t="inlineStr">
        <is>
          <t>DALARNAS LÄN</t>
        </is>
      </c>
      <c r="E1601" t="inlineStr">
        <is>
          <t>ÄLVDALEN</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37733-2019</t>
        </is>
      </c>
      <c r="B1602" s="1" t="n">
        <v>43682</v>
      </c>
      <c r="C1602" s="1" t="n">
        <v>45210</v>
      </c>
      <c r="D1602" t="inlineStr">
        <is>
          <t>DALARNAS LÄN</t>
        </is>
      </c>
      <c r="E1602" t="inlineStr">
        <is>
          <t>LEKSAND</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37809-2019</t>
        </is>
      </c>
      <c r="B1603" s="1" t="n">
        <v>43682</v>
      </c>
      <c r="C1603" s="1" t="n">
        <v>45210</v>
      </c>
      <c r="D1603" t="inlineStr">
        <is>
          <t>DALARNAS LÄN</t>
        </is>
      </c>
      <c r="E1603" t="inlineStr">
        <is>
          <t>ORSA</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37991-2019</t>
        </is>
      </c>
      <c r="B1604" s="1" t="n">
        <v>43683</v>
      </c>
      <c r="C1604" s="1" t="n">
        <v>45210</v>
      </c>
      <c r="D1604" t="inlineStr">
        <is>
          <t>DALARNAS LÄN</t>
        </is>
      </c>
      <c r="E1604" t="inlineStr">
        <is>
          <t>ÄLVDALEN</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38039-2019</t>
        </is>
      </c>
      <c r="B1605" s="1" t="n">
        <v>43683</v>
      </c>
      <c r="C1605" s="1" t="n">
        <v>45210</v>
      </c>
      <c r="D1605" t="inlineStr">
        <is>
          <t>DALARNAS LÄN</t>
        </is>
      </c>
      <c r="E1605" t="inlineStr">
        <is>
          <t>ÄLVDALEN</t>
        </is>
      </c>
      <c r="F1605" t="inlineStr">
        <is>
          <t>Övriga statliga verk och myndigheter</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38050-2019</t>
        </is>
      </c>
      <c r="B1606" s="1" t="n">
        <v>43683</v>
      </c>
      <c r="C1606" s="1" t="n">
        <v>45210</v>
      </c>
      <c r="D1606" t="inlineStr">
        <is>
          <t>DALARNAS LÄN</t>
        </is>
      </c>
      <c r="E1606" t="inlineStr">
        <is>
          <t>FALUN</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37952-2019</t>
        </is>
      </c>
      <c r="B1607" s="1" t="n">
        <v>43683</v>
      </c>
      <c r="C1607" s="1" t="n">
        <v>45210</v>
      </c>
      <c r="D1607" t="inlineStr">
        <is>
          <t>DALARNAS LÄN</t>
        </is>
      </c>
      <c r="E1607" t="inlineStr">
        <is>
          <t>MALUNG-SÄLEN</t>
        </is>
      </c>
      <c r="G1607" t="n">
        <v>6.4</v>
      </c>
      <c r="H1607" t="n">
        <v>0</v>
      </c>
      <c r="I1607" t="n">
        <v>0</v>
      </c>
      <c r="J1607" t="n">
        <v>0</v>
      </c>
      <c r="K1607" t="n">
        <v>0</v>
      </c>
      <c r="L1607" t="n">
        <v>0</v>
      </c>
      <c r="M1607" t="n">
        <v>0</v>
      </c>
      <c r="N1607" t="n">
        <v>0</v>
      </c>
      <c r="O1607" t="n">
        <v>0</v>
      </c>
      <c r="P1607" t="n">
        <v>0</v>
      </c>
      <c r="Q1607" t="n">
        <v>0</v>
      </c>
      <c r="R1607" s="2" t="inlineStr"/>
    </row>
    <row r="1608" ht="15" customHeight="1">
      <c r="A1608" t="inlineStr">
        <is>
          <t>A 37939-2019</t>
        </is>
      </c>
      <c r="B1608" s="1" t="n">
        <v>43683</v>
      </c>
      <c r="C1608" s="1" t="n">
        <v>45210</v>
      </c>
      <c r="D1608" t="inlineStr">
        <is>
          <t>DALARNAS LÄN</t>
        </is>
      </c>
      <c r="E1608" t="inlineStr">
        <is>
          <t>ÄLVDALEN</t>
        </is>
      </c>
      <c r="F1608" t="inlineStr">
        <is>
          <t>Övriga statliga verk och myndigheter</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38021-2019</t>
        </is>
      </c>
      <c r="B1609" s="1" t="n">
        <v>43683</v>
      </c>
      <c r="C1609" s="1" t="n">
        <v>45210</v>
      </c>
      <c r="D1609" t="inlineStr">
        <is>
          <t>DALARNAS LÄN</t>
        </is>
      </c>
      <c r="E1609" t="inlineStr">
        <is>
          <t>ÄLVDALEN</t>
        </is>
      </c>
      <c r="F1609" t="inlineStr">
        <is>
          <t>Övriga statliga verk och myndigheter</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38152-2019</t>
        </is>
      </c>
      <c r="B1610" s="1" t="n">
        <v>43684</v>
      </c>
      <c r="C1610" s="1" t="n">
        <v>45210</v>
      </c>
      <c r="D1610" t="inlineStr">
        <is>
          <t>DALARNAS LÄN</t>
        </is>
      </c>
      <c r="E1610" t="inlineStr">
        <is>
          <t>SMEDJEBACKEN</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38149-2019</t>
        </is>
      </c>
      <c r="B1611" s="1" t="n">
        <v>43684</v>
      </c>
      <c r="C1611" s="1" t="n">
        <v>45210</v>
      </c>
      <c r="D1611" t="inlineStr">
        <is>
          <t>DALARNAS LÄN</t>
        </is>
      </c>
      <c r="E1611" t="inlineStr">
        <is>
          <t>SMEDJEBACKEN</t>
        </is>
      </c>
      <c r="G1611" t="n">
        <v>3.5</v>
      </c>
      <c r="H1611" t="n">
        <v>0</v>
      </c>
      <c r="I1611" t="n">
        <v>0</v>
      </c>
      <c r="J1611" t="n">
        <v>0</v>
      </c>
      <c r="K1611" t="n">
        <v>0</v>
      </c>
      <c r="L1611" t="n">
        <v>0</v>
      </c>
      <c r="M1611" t="n">
        <v>0</v>
      </c>
      <c r="N1611" t="n">
        <v>0</v>
      </c>
      <c r="O1611" t="n">
        <v>0</v>
      </c>
      <c r="P1611" t="n">
        <v>0</v>
      </c>
      <c r="Q1611" t="n">
        <v>0</v>
      </c>
      <c r="R1611" s="2" t="inlineStr"/>
    </row>
    <row r="1612" ht="15" customHeight="1">
      <c r="A1612" t="inlineStr">
        <is>
          <t>A 38157-2019</t>
        </is>
      </c>
      <c r="B1612" s="1" t="n">
        <v>43684</v>
      </c>
      <c r="C1612" s="1" t="n">
        <v>45210</v>
      </c>
      <c r="D1612" t="inlineStr">
        <is>
          <t>DALARNAS LÄN</t>
        </is>
      </c>
      <c r="E1612" t="inlineStr">
        <is>
          <t>SÄTER</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38173-2019</t>
        </is>
      </c>
      <c r="B1613" s="1" t="n">
        <v>43684</v>
      </c>
      <c r="C1613" s="1" t="n">
        <v>45210</v>
      </c>
      <c r="D1613" t="inlineStr">
        <is>
          <t>DALARNAS LÄN</t>
        </is>
      </c>
      <c r="E1613" t="inlineStr">
        <is>
          <t>MALUNG-SÄLEN</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38282-2019</t>
        </is>
      </c>
      <c r="B1614" s="1" t="n">
        <v>43684</v>
      </c>
      <c r="C1614" s="1" t="n">
        <v>45210</v>
      </c>
      <c r="D1614" t="inlineStr">
        <is>
          <t>DALARNAS LÄN</t>
        </is>
      </c>
      <c r="E1614" t="inlineStr">
        <is>
          <t>GAGNEF</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38350-2019</t>
        </is>
      </c>
      <c r="B1615" s="1" t="n">
        <v>43685</v>
      </c>
      <c r="C1615" s="1" t="n">
        <v>45210</v>
      </c>
      <c r="D1615" t="inlineStr">
        <is>
          <t>DALARNAS LÄN</t>
        </is>
      </c>
      <c r="E1615" t="inlineStr">
        <is>
          <t>LEKSAND</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38514-2019</t>
        </is>
      </c>
      <c r="B1616" s="1" t="n">
        <v>43685</v>
      </c>
      <c r="C1616" s="1" t="n">
        <v>45210</v>
      </c>
      <c r="D1616" t="inlineStr">
        <is>
          <t>DALARNAS LÄN</t>
        </is>
      </c>
      <c r="E1616" t="inlineStr">
        <is>
          <t>MORA</t>
        </is>
      </c>
      <c r="F1616" t="inlineStr">
        <is>
          <t>Bergvik skog öst AB</t>
        </is>
      </c>
      <c r="G1616" t="n">
        <v>7.4</v>
      </c>
      <c r="H1616" t="n">
        <v>0</v>
      </c>
      <c r="I1616" t="n">
        <v>0</v>
      </c>
      <c r="J1616" t="n">
        <v>0</v>
      </c>
      <c r="K1616" t="n">
        <v>0</v>
      </c>
      <c r="L1616" t="n">
        <v>0</v>
      </c>
      <c r="M1616" t="n">
        <v>0</v>
      </c>
      <c r="N1616" t="n">
        <v>0</v>
      </c>
      <c r="O1616" t="n">
        <v>0</v>
      </c>
      <c r="P1616" t="n">
        <v>0</v>
      </c>
      <c r="Q1616" t="n">
        <v>0</v>
      </c>
      <c r="R1616" s="2" t="inlineStr"/>
    </row>
    <row r="1617" ht="15" customHeight="1">
      <c r="A1617" t="inlineStr">
        <is>
          <t>A 38526-2019</t>
        </is>
      </c>
      <c r="B1617" s="1" t="n">
        <v>43685</v>
      </c>
      <c r="C1617" s="1" t="n">
        <v>45210</v>
      </c>
      <c r="D1617" t="inlineStr">
        <is>
          <t>DALARNAS LÄN</t>
        </is>
      </c>
      <c r="E1617" t="inlineStr">
        <is>
          <t>AVESTA</t>
        </is>
      </c>
      <c r="G1617" t="n">
        <v>3.9</v>
      </c>
      <c r="H1617" t="n">
        <v>0</v>
      </c>
      <c r="I1617" t="n">
        <v>0</v>
      </c>
      <c r="J1617" t="n">
        <v>0</v>
      </c>
      <c r="K1617" t="n">
        <v>0</v>
      </c>
      <c r="L1617" t="n">
        <v>0</v>
      </c>
      <c r="M1617" t="n">
        <v>0</v>
      </c>
      <c r="N1617" t="n">
        <v>0</v>
      </c>
      <c r="O1617" t="n">
        <v>0</v>
      </c>
      <c r="P1617" t="n">
        <v>0</v>
      </c>
      <c r="Q1617" t="n">
        <v>0</v>
      </c>
      <c r="R1617" s="2" t="inlineStr"/>
    </row>
    <row r="1618" ht="15" customHeight="1">
      <c r="A1618" t="inlineStr">
        <is>
          <t>A 38370-2019</t>
        </is>
      </c>
      <c r="B1618" s="1" t="n">
        <v>43685</v>
      </c>
      <c r="C1618" s="1" t="n">
        <v>45210</v>
      </c>
      <c r="D1618" t="inlineStr">
        <is>
          <t>DALARNAS LÄN</t>
        </is>
      </c>
      <c r="E1618" t="inlineStr">
        <is>
          <t>GAGNEF</t>
        </is>
      </c>
      <c r="G1618" t="n">
        <v>5.7</v>
      </c>
      <c r="H1618" t="n">
        <v>0</v>
      </c>
      <c r="I1618" t="n">
        <v>0</v>
      </c>
      <c r="J1618" t="n">
        <v>0</v>
      </c>
      <c r="K1618" t="n">
        <v>0</v>
      </c>
      <c r="L1618" t="n">
        <v>0</v>
      </c>
      <c r="M1618" t="n">
        <v>0</v>
      </c>
      <c r="N1618" t="n">
        <v>0</v>
      </c>
      <c r="O1618" t="n">
        <v>0</v>
      </c>
      <c r="P1618" t="n">
        <v>0</v>
      </c>
      <c r="Q1618" t="n">
        <v>0</v>
      </c>
      <c r="R1618" s="2" t="inlineStr"/>
    </row>
    <row r="1619" ht="15" customHeight="1">
      <c r="A1619" t="inlineStr">
        <is>
          <t>A 39281-2019</t>
        </is>
      </c>
      <c r="B1619" s="1" t="n">
        <v>43686</v>
      </c>
      <c r="C1619" s="1" t="n">
        <v>45210</v>
      </c>
      <c r="D1619" t="inlineStr">
        <is>
          <t>DALARNAS LÄN</t>
        </is>
      </c>
      <c r="E1619" t="inlineStr">
        <is>
          <t>MALUNG-SÄLEN</t>
        </is>
      </c>
      <c r="F1619" t="inlineStr">
        <is>
          <t>Allmännings- och besparingsskogar</t>
        </is>
      </c>
      <c r="G1619" t="n">
        <v>12.8</v>
      </c>
      <c r="H1619" t="n">
        <v>0</v>
      </c>
      <c r="I1619" t="n">
        <v>0</v>
      </c>
      <c r="J1619" t="n">
        <v>0</v>
      </c>
      <c r="K1619" t="n">
        <v>0</v>
      </c>
      <c r="L1619" t="n">
        <v>0</v>
      </c>
      <c r="M1619" t="n">
        <v>0</v>
      </c>
      <c r="N1619" t="n">
        <v>0</v>
      </c>
      <c r="O1619" t="n">
        <v>0</v>
      </c>
      <c r="P1619" t="n">
        <v>0</v>
      </c>
      <c r="Q1619" t="n">
        <v>0</v>
      </c>
      <c r="R1619" s="2" t="inlineStr"/>
    </row>
    <row r="1620" ht="15" customHeight="1">
      <c r="A1620" t="inlineStr">
        <is>
          <t>A 39556-2019</t>
        </is>
      </c>
      <c r="B1620" s="1" t="n">
        <v>43686</v>
      </c>
      <c r="C1620" s="1" t="n">
        <v>45210</v>
      </c>
      <c r="D1620" t="inlineStr">
        <is>
          <t>DALARNAS LÄN</t>
        </is>
      </c>
      <c r="E1620" t="inlineStr">
        <is>
          <t>RÄTTVIK</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38595-2019</t>
        </is>
      </c>
      <c r="B1621" s="1" t="n">
        <v>43686</v>
      </c>
      <c r="C1621" s="1" t="n">
        <v>45210</v>
      </c>
      <c r="D1621" t="inlineStr">
        <is>
          <t>DALARNAS LÄN</t>
        </is>
      </c>
      <c r="E1621" t="inlineStr">
        <is>
          <t>VANSBRO</t>
        </is>
      </c>
      <c r="G1621" t="n">
        <v>11.7</v>
      </c>
      <c r="H1621" t="n">
        <v>0</v>
      </c>
      <c r="I1621" t="n">
        <v>0</v>
      </c>
      <c r="J1621" t="n">
        <v>0</v>
      </c>
      <c r="K1621" t="n">
        <v>0</v>
      </c>
      <c r="L1621" t="n">
        <v>0</v>
      </c>
      <c r="M1621" t="n">
        <v>0</v>
      </c>
      <c r="N1621" t="n">
        <v>0</v>
      </c>
      <c r="O1621" t="n">
        <v>0</v>
      </c>
      <c r="P1621" t="n">
        <v>0</v>
      </c>
      <c r="Q1621" t="n">
        <v>0</v>
      </c>
      <c r="R1621" s="2" t="inlineStr"/>
    </row>
    <row r="1622" ht="15" customHeight="1">
      <c r="A1622" t="inlineStr">
        <is>
          <t>A 38748-2019</t>
        </is>
      </c>
      <c r="B1622" s="1" t="n">
        <v>43686</v>
      </c>
      <c r="C1622" s="1" t="n">
        <v>45210</v>
      </c>
      <c r="D1622" t="inlineStr">
        <is>
          <t>DALARNAS LÄN</t>
        </is>
      </c>
      <c r="E1622" t="inlineStr">
        <is>
          <t>RÄTTVIK</t>
        </is>
      </c>
      <c r="F1622" t="inlineStr">
        <is>
          <t>Sveaskog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39287-2019</t>
        </is>
      </c>
      <c r="B1623" s="1" t="n">
        <v>43686</v>
      </c>
      <c r="C1623" s="1" t="n">
        <v>45210</v>
      </c>
      <c r="D1623" t="inlineStr">
        <is>
          <t>DALARNAS LÄN</t>
        </is>
      </c>
      <c r="E1623" t="inlineStr">
        <is>
          <t>MALUNG-SÄLEN</t>
        </is>
      </c>
      <c r="F1623" t="inlineStr">
        <is>
          <t>Allmännings- och besparingsskogar</t>
        </is>
      </c>
      <c r="G1623" t="n">
        <v>10</v>
      </c>
      <c r="H1623" t="n">
        <v>0</v>
      </c>
      <c r="I1623" t="n">
        <v>0</v>
      </c>
      <c r="J1623" t="n">
        <v>0</v>
      </c>
      <c r="K1623" t="n">
        <v>0</v>
      </c>
      <c r="L1623" t="n">
        <v>0</v>
      </c>
      <c r="M1623" t="n">
        <v>0</v>
      </c>
      <c r="N1623" t="n">
        <v>0</v>
      </c>
      <c r="O1623" t="n">
        <v>0</v>
      </c>
      <c r="P1623" t="n">
        <v>0</v>
      </c>
      <c r="Q1623" t="n">
        <v>0</v>
      </c>
      <c r="R1623" s="2" t="inlineStr"/>
    </row>
    <row r="1624" ht="15" customHeight="1">
      <c r="A1624" t="inlineStr">
        <is>
          <t>A 38842-2019</t>
        </is>
      </c>
      <c r="B1624" s="1" t="n">
        <v>43689</v>
      </c>
      <c r="C1624" s="1" t="n">
        <v>45210</v>
      </c>
      <c r="D1624" t="inlineStr">
        <is>
          <t>DALARNAS LÄN</t>
        </is>
      </c>
      <c r="E1624" t="inlineStr">
        <is>
          <t>SMEDJEBACKEN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38857-2019</t>
        </is>
      </c>
      <c r="B1625" s="1" t="n">
        <v>43689</v>
      </c>
      <c r="C1625" s="1" t="n">
        <v>45210</v>
      </c>
      <c r="D1625" t="inlineStr">
        <is>
          <t>DALARNAS LÄN</t>
        </is>
      </c>
      <c r="E1625" t="inlineStr">
        <is>
          <t>ORSA</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39012-2019</t>
        </is>
      </c>
      <c r="B1626" s="1" t="n">
        <v>43689</v>
      </c>
      <c r="C1626" s="1" t="n">
        <v>45210</v>
      </c>
      <c r="D1626" t="inlineStr">
        <is>
          <t>DALARNAS LÄN</t>
        </is>
      </c>
      <c r="E1626" t="inlineStr">
        <is>
          <t>FALUN</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39032-2019</t>
        </is>
      </c>
      <c r="B1627" s="1" t="n">
        <v>43689</v>
      </c>
      <c r="C1627" s="1" t="n">
        <v>45210</v>
      </c>
      <c r="D1627" t="inlineStr">
        <is>
          <t>DALARNAS LÄN</t>
        </is>
      </c>
      <c r="E1627" t="inlineStr">
        <is>
          <t>FALUN</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38858-2019</t>
        </is>
      </c>
      <c r="B1628" s="1" t="n">
        <v>43689</v>
      </c>
      <c r="C1628" s="1" t="n">
        <v>45210</v>
      </c>
      <c r="D1628" t="inlineStr">
        <is>
          <t>DALARNAS LÄN</t>
        </is>
      </c>
      <c r="E1628" t="inlineStr">
        <is>
          <t>ORSA</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39005-2019</t>
        </is>
      </c>
      <c r="B1629" s="1" t="n">
        <v>43689</v>
      </c>
      <c r="C1629" s="1" t="n">
        <v>45210</v>
      </c>
      <c r="D1629" t="inlineStr">
        <is>
          <t>DALARNAS LÄN</t>
        </is>
      </c>
      <c r="E1629" t="inlineStr">
        <is>
          <t>RÄTTVIK</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39025-2019</t>
        </is>
      </c>
      <c r="B1630" s="1" t="n">
        <v>43689</v>
      </c>
      <c r="C1630" s="1" t="n">
        <v>45210</v>
      </c>
      <c r="D1630" t="inlineStr">
        <is>
          <t>DALARNAS LÄN</t>
        </is>
      </c>
      <c r="E1630" t="inlineStr">
        <is>
          <t>LEKSAND</t>
        </is>
      </c>
      <c r="F1630" t="inlineStr">
        <is>
          <t>Bergvik skog väst AB</t>
        </is>
      </c>
      <c r="G1630" t="n">
        <v>10.1</v>
      </c>
      <c r="H1630" t="n">
        <v>0</v>
      </c>
      <c r="I1630" t="n">
        <v>0</v>
      </c>
      <c r="J1630" t="n">
        <v>0</v>
      </c>
      <c r="K1630" t="n">
        <v>0</v>
      </c>
      <c r="L1630" t="n">
        <v>0</v>
      </c>
      <c r="M1630" t="n">
        <v>0</v>
      </c>
      <c r="N1630" t="n">
        <v>0</v>
      </c>
      <c r="O1630" t="n">
        <v>0</v>
      </c>
      <c r="P1630" t="n">
        <v>0</v>
      </c>
      <c r="Q1630" t="n">
        <v>0</v>
      </c>
      <c r="R1630" s="2" t="inlineStr"/>
    </row>
    <row r="1631" ht="15" customHeight="1">
      <c r="A1631" t="inlineStr">
        <is>
          <t>A 39708-2019</t>
        </is>
      </c>
      <c r="B1631" s="1" t="n">
        <v>43689</v>
      </c>
      <c r="C1631" s="1" t="n">
        <v>45210</v>
      </c>
      <c r="D1631" t="inlineStr">
        <is>
          <t>DALARNAS LÄN</t>
        </is>
      </c>
      <c r="E1631" t="inlineStr">
        <is>
          <t>FALUN</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40304-2019</t>
        </is>
      </c>
      <c r="B1632" s="1" t="n">
        <v>43690</v>
      </c>
      <c r="C1632" s="1" t="n">
        <v>45210</v>
      </c>
      <c r="D1632" t="inlineStr">
        <is>
          <t>DALARNAS LÄN</t>
        </is>
      </c>
      <c r="E1632" t="inlineStr">
        <is>
          <t>RÄTTVIK</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39221-2019</t>
        </is>
      </c>
      <c r="B1633" s="1" t="n">
        <v>43690</v>
      </c>
      <c r="C1633" s="1" t="n">
        <v>45210</v>
      </c>
      <c r="D1633" t="inlineStr">
        <is>
          <t>DALARNAS LÄN</t>
        </is>
      </c>
      <c r="E1633" t="inlineStr">
        <is>
          <t>FALUN</t>
        </is>
      </c>
      <c r="F1633" t="inlineStr">
        <is>
          <t>Bergvik skog väst AB</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39298-2019</t>
        </is>
      </c>
      <c r="B1634" s="1" t="n">
        <v>43690</v>
      </c>
      <c r="C1634" s="1" t="n">
        <v>45210</v>
      </c>
      <c r="D1634" t="inlineStr">
        <is>
          <t>DALARNAS LÄN</t>
        </is>
      </c>
      <c r="E1634" t="inlineStr">
        <is>
          <t>MALUNG-SÄLEN</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39861-2019</t>
        </is>
      </c>
      <c r="B1635" s="1" t="n">
        <v>43692</v>
      </c>
      <c r="C1635" s="1" t="n">
        <v>45210</v>
      </c>
      <c r="D1635" t="inlineStr">
        <is>
          <t>DALARNAS LÄN</t>
        </is>
      </c>
      <c r="E1635" t="inlineStr">
        <is>
          <t>VANSBRO</t>
        </is>
      </c>
      <c r="F1635" t="inlineStr">
        <is>
          <t>Bergvik skog öst AB</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39809-2019</t>
        </is>
      </c>
      <c r="B1636" s="1" t="n">
        <v>43692</v>
      </c>
      <c r="C1636" s="1" t="n">
        <v>45210</v>
      </c>
      <c r="D1636" t="inlineStr">
        <is>
          <t>DALARNAS LÄN</t>
        </is>
      </c>
      <c r="E1636" t="inlineStr">
        <is>
          <t>MORA</t>
        </is>
      </c>
      <c r="F1636" t="inlineStr">
        <is>
          <t>Bergvik skog öst AB</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40066-2019</t>
        </is>
      </c>
      <c r="B1637" s="1" t="n">
        <v>43693</v>
      </c>
      <c r="C1637" s="1" t="n">
        <v>45210</v>
      </c>
      <c r="D1637" t="inlineStr">
        <is>
          <t>DALARNAS LÄN</t>
        </is>
      </c>
      <c r="E1637" t="inlineStr">
        <is>
          <t>AVESTA</t>
        </is>
      </c>
      <c r="F1637" t="inlineStr">
        <is>
          <t>Sveaskog</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40163-2019</t>
        </is>
      </c>
      <c r="B1638" s="1" t="n">
        <v>43693</v>
      </c>
      <c r="C1638" s="1" t="n">
        <v>45210</v>
      </c>
      <c r="D1638" t="inlineStr">
        <is>
          <t>DALARNAS LÄN</t>
        </is>
      </c>
      <c r="E1638" t="inlineStr">
        <is>
          <t>VANSBRO</t>
        </is>
      </c>
      <c r="G1638" t="n">
        <v>3.4</v>
      </c>
      <c r="H1638" t="n">
        <v>0</v>
      </c>
      <c r="I1638" t="n">
        <v>0</v>
      </c>
      <c r="J1638" t="n">
        <v>0</v>
      </c>
      <c r="K1638" t="n">
        <v>0</v>
      </c>
      <c r="L1638" t="n">
        <v>0</v>
      </c>
      <c r="M1638" t="n">
        <v>0</v>
      </c>
      <c r="N1638" t="n">
        <v>0</v>
      </c>
      <c r="O1638" t="n">
        <v>0</v>
      </c>
      <c r="P1638" t="n">
        <v>0</v>
      </c>
      <c r="Q1638" t="n">
        <v>0</v>
      </c>
      <c r="R1638" s="2" t="inlineStr"/>
    </row>
    <row r="1639" ht="15" customHeight="1">
      <c r="A1639" t="inlineStr">
        <is>
          <t>A 41087-2019</t>
        </is>
      </c>
      <c r="B1639" s="1" t="n">
        <v>43693</v>
      </c>
      <c r="C1639" s="1" t="n">
        <v>45210</v>
      </c>
      <c r="D1639" t="inlineStr">
        <is>
          <t>DALARNAS LÄN</t>
        </is>
      </c>
      <c r="E1639" t="inlineStr">
        <is>
          <t>SÄTER</t>
        </is>
      </c>
      <c r="F1639" t="inlineStr">
        <is>
          <t>Bergvik skog väst AB</t>
        </is>
      </c>
      <c r="G1639" t="n">
        <v>3.6</v>
      </c>
      <c r="H1639" t="n">
        <v>0</v>
      </c>
      <c r="I1639" t="n">
        <v>0</v>
      </c>
      <c r="J1639" t="n">
        <v>0</v>
      </c>
      <c r="K1639" t="n">
        <v>0</v>
      </c>
      <c r="L1639" t="n">
        <v>0</v>
      </c>
      <c r="M1639" t="n">
        <v>0</v>
      </c>
      <c r="N1639" t="n">
        <v>0</v>
      </c>
      <c r="O1639" t="n">
        <v>0</v>
      </c>
      <c r="P1639" t="n">
        <v>0</v>
      </c>
      <c r="Q1639" t="n">
        <v>0</v>
      </c>
      <c r="R1639" s="2" t="inlineStr"/>
    </row>
    <row r="1640" ht="15" customHeight="1">
      <c r="A1640" t="inlineStr">
        <is>
          <t>A 40035-2019</t>
        </is>
      </c>
      <c r="B1640" s="1" t="n">
        <v>43693</v>
      </c>
      <c r="C1640" s="1" t="n">
        <v>45210</v>
      </c>
      <c r="D1640" t="inlineStr">
        <is>
          <t>DALARNAS LÄN</t>
        </is>
      </c>
      <c r="E1640" t="inlineStr">
        <is>
          <t>GAGNEF</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40068-2019</t>
        </is>
      </c>
      <c r="B1641" s="1" t="n">
        <v>43693</v>
      </c>
      <c r="C1641" s="1" t="n">
        <v>45210</v>
      </c>
      <c r="D1641" t="inlineStr">
        <is>
          <t>DALARNAS LÄN</t>
        </is>
      </c>
      <c r="E1641" t="inlineStr">
        <is>
          <t>AVESTA</t>
        </is>
      </c>
      <c r="F1641" t="inlineStr">
        <is>
          <t>Sveaskog</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40201-2019</t>
        </is>
      </c>
      <c r="B1642" s="1" t="n">
        <v>43693</v>
      </c>
      <c r="C1642" s="1" t="n">
        <v>45210</v>
      </c>
      <c r="D1642" t="inlineStr">
        <is>
          <t>DALARNAS LÄN</t>
        </is>
      </c>
      <c r="E1642" t="inlineStr">
        <is>
          <t>VANSBRO</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40920-2019</t>
        </is>
      </c>
      <c r="B1643" s="1" t="n">
        <v>43693</v>
      </c>
      <c r="C1643" s="1" t="n">
        <v>45210</v>
      </c>
      <c r="D1643" t="inlineStr">
        <is>
          <t>DALARNAS LÄN</t>
        </is>
      </c>
      <c r="E1643" t="inlineStr">
        <is>
          <t>SÄTER</t>
        </is>
      </c>
      <c r="F1643" t="inlineStr">
        <is>
          <t>Bergvik skog väst AB</t>
        </is>
      </c>
      <c r="G1643" t="n">
        <v>5</v>
      </c>
      <c r="H1643" t="n">
        <v>0</v>
      </c>
      <c r="I1643" t="n">
        <v>0</v>
      </c>
      <c r="J1643" t="n">
        <v>0</v>
      </c>
      <c r="K1643" t="n">
        <v>0</v>
      </c>
      <c r="L1643" t="n">
        <v>0</v>
      </c>
      <c r="M1643" t="n">
        <v>0</v>
      </c>
      <c r="N1643" t="n">
        <v>0</v>
      </c>
      <c r="O1643" t="n">
        <v>0</v>
      </c>
      <c r="P1643" t="n">
        <v>0</v>
      </c>
      <c r="Q1643" t="n">
        <v>0</v>
      </c>
      <c r="R1643" s="2" t="inlineStr"/>
    </row>
    <row r="1644" ht="15" customHeight="1">
      <c r="A1644" t="inlineStr">
        <is>
          <t>A 40100-2019</t>
        </is>
      </c>
      <c r="B1644" s="1" t="n">
        <v>43693</v>
      </c>
      <c r="C1644" s="1" t="n">
        <v>45210</v>
      </c>
      <c r="D1644" t="inlineStr">
        <is>
          <t>DALARNAS LÄN</t>
        </is>
      </c>
      <c r="E1644" t="inlineStr">
        <is>
          <t>AVESTA</t>
        </is>
      </c>
      <c r="F1644" t="inlineStr">
        <is>
          <t>Sveaskog</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40203-2019</t>
        </is>
      </c>
      <c r="B1645" s="1" t="n">
        <v>43693</v>
      </c>
      <c r="C1645" s="1" t="n">
        <v>45210</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40058-2019</t>
        </is>
      </c>
      <c r="B1646" s="1" t="n">
        <v>43693</v>
      </c>
      <c r="C1646" s="1" t="n">
        <v>45210</v>
      </c>
      <c r="D1646" t="inlineStr">
        <is>
          <t>DALARNAS LÄN</t>
        </is>
      </c>
      <c r="E1646" t="inlineStr">
        <is>
          <t>AVESTA</t>
        </is>
      </c>
      <c r="F1646" t="inlineStr">
        <is>
          <t>Sveaskog</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40067-2019</t>
        </is>
      </c>
      <c r="B1647" s="1" t="n">
        <v>43693</v>
      </c>
      <c r="C1647" s="1" t="n">
        <v>45210</v>
      </c>
      <c r="D1647" t="inlineStr">
        <is>
          <t>DALARNAS LÄN</t>
        </is>
      </c>
      <c r="E1647" t="inlineStr">
        <is>
          <t>SMEDJEBACKEN</t>
        </is>
      </c>
      <c r="F1647" t="inlineStr">
        <is>
          <t>Sveaskog</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40088-2019</t>
        </is>
      </c>
      <c r="B1648" s="1" t="n">
        <v>43693</v>
      </c>
      <c r="C1648" s="1" t="n">
        <v>45210</v>
      </c>
      <c r="D1648" t="inlineStr">
        <is>
          <t>DALARNAS LÄN</t>
        </is>
      </c>
      <c r="E1648" t="inlineStr">
        <is>
          <t>AVESTA</t>
        </is>
      </c>
      <c r="F1648" t="inlineStr">
        <is>
          <t>Sveaskog</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40129-2019</t>
        </is>
      </c>
      <c r="B1649" s="1" t="n">
        <v>43693</v>
      </c>
      <c r="C1649" s="1" t="n">
        <v>45210</v>
      </c>
      <c r="D1649" t="inlineStr">
        <is>
          <t>DALARNAS LÄN</t>
        </is>
      </c>
      <c r="E1649" t="inlineStr">
        <is>
          <t>SMEDJEBACKEN</t>
        </is>
      </c>
      <c r="F1649" t="inlineStr">
        <is>
          <t>Sveaskog</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40910-2019</t>
        </is>
      </c>
      <c r="B1650" s="1" t="n">
        <v>43693</v>
      </c>
      <c r="C1650" s="1" t="n">
        <v>45210</v>
      </c>
      <c r="D1650" t="inlineStr">
        <is>
          <t>DALARNAS LÄN</t>
        </is>
      </c>
      <c r="E1650" t="inlineStr">
        <is>
          <t>MORA</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40937-2019</t>
        </is>
      </c>
      <c r="B1651" s="1" t="n">
        <v>43693</v>
      </c>
      <c r="C1651" s="1" t="n">
        <v>45210</v>
      </c>
      <c r="D1651" t="inlineStr">
        <is>
          <t>DALARNAS LÄN</t>
        </is>
      </c>
      <c r="E1651" t="inlineStr">
        <is>
          <t>SÄTER</t>
        </is>
      </c>
      <c r="F1651" t="inlineStr">
        <is>
          <t>Bergvik skog väst AB</t>
        </is>
      </c>
      <c r="G1651" t="n">
        <v>4.8</v>
      </c>
      <c r="H1651" t="n">
        <v>0</v>
      </c>
      <c r="I1651" t="n">
        <v>0</v>
      </c>
      <c r="J1651" t="n">
        <v>0</v>
      </c>
      <c r="K1651" t="n">
        <v>0</v>
      </c>
      <c r="L1651" t="n">
        <v>0</v>
      </c>
      <c r="M1651" t="n">
        <v>0</v>
      </c>
      <c r="N1651" t="n">
        <v>0</v>
      </c>
      <c r="O1651" t="n">
        <v>0</v>
      </c>
      <c r="P1651" t="n">
        <v>0</v>
      </c>
      <c r="Q1651" t="n">
        <v>0</v>
      </c>
      <c r="R1651" s="2" t="inlineStr"/>
    </row>
    <row r="1652" ht="15" customHeight="1">
      <c r="A1652" t="inlineStr">
        <is>
          <t>A 40358-2019</t>
        </is>
      </c>
      <c r="B1652" s="1" t="n">
        <v>43696</v>
      </c>
      <c r="C1652" s="1" t="n">
        <v>45210</v>
      </c>
      <c r="D1652" t="inlineStr">
        <is>
          <t>DALARNAS LÄN</t>
        </is>
      </c>
      <c r="E1652" t="inlineStr">
        <is>
          <t>LUDVIKA</t>
        </is>
      </c>
      <c r="F1652" t="inlineStr">
        <is>
          <t>Bergvik skog väst AB</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40568-2019</t>
        </is>
      </c>
      <c r="B1653" s="1" t="n">
        <v>43696</v>
      </c>
      <c r="C1653" s="1" t="n">
        <v>45210</v>
      </c>
      <c r="D1653" t="inlineStr">
        <is>
          <t>DALARNAS LÄN</t>
        </is>
      </c>
      <c r="E1653" t="inlineStr">
        <is>
          <t>SÄTER</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40728-2019</t>
        </is>
      </c>
      <c r="B1654" s="1" t="n">
        <v>43697</v>
      </c>
      <c r="C1654" s="1" t="n">
        <v>45210</v>
      </c>
      <c r="D1654" t="inlineStr">
        <is>
          <t>DALARNAS LÄN</t>
        </is>
      </c>
      <c r="E1654" t="inlineStr">
        <is>
          <t>VANSBRO</t>
        </is>
      </c>
      <c r="F1654" t="inlineStr">
        <is>
          <t>Bergvik skog väst AB</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40828-2019</t>
        </is>
      </c>
      <c r="B1655" s="1" t="n">
        <v>43697</v>
      </c>
      <c r="C1655" s="1" t="n">
        <v>45210</v>
      </c>
      <c r="D1655" t="inlineStr">
        <is>
          <t>DALARNAS LÄN</t>
        </is>
      </c>
      <c r="E1655" t="inlineStr">
        <is>
          <t>SMEDJEBACKEN</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41395-2019</t>
        </is>
      </c>
      <c r="B1656" s="1" t="n">
        <v>43698</v>
      </c>
      <c r="C1656" s="1" t="n">
        <v>45210</v>
      </c>
      <c r="D1656" t="inlineStr">
        <is>
          <t>DALARNAS LÄN</t>
        </is>
      </c>
      <c r="E1656" t="inlineStr">
        <is>
          <t>LUDVIKA</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42530-2019</t>
        </is>
      </c>
      <c r="B1657" s="1" t="n">
        <v>43698</v>
      </c>
      <c r="C1657" s="1" t="n">
        <v>45210</v>
      </c>
      <c r="D1657" t="inlineStr">
        <is>
          <t>DALARNAS LÄN</t>
        </is>
      </c>
      <c r="E1657" t="inlineStr">
        <is>
          <t>MORA</t>
        </is>
      </c>
      <c r="G1657" t="n">
        <v>4.7</v>
      </c>
      <c r="H1657" t="n">
        <v>0</v>
      </c>
      <c r="I1657" t="n">
        <v>0</v>
      </c>
      <c r="J1657" t="n">
        <v>0</v>
      </c>
      <c r="K1657" t="n">
        <v>0</v>
      </c>
      <c r="L1657" t="n">
        <v>0</v>
      </c>
      <c r="M1657" t="n">
        <v>0</v>
      </c>
      <c r="N1657" t="n">
        <v>0</v>
      </c>
      <c r="O1657" t="n">
        <v>0</v>
      </c>
      <c r="P1657" t="n">
        <v>0</v>
      </c>
      <c r="Q1657" t="n">
        <v>0</v>
      </c>
      <c r="R1657" s="2" t="inlineStr"/>
    </row>
    <row r="1658" ht="15" customHeight="1">
      <c r="A1658" t="inlineStr">
        <is>
          <t>A 41335-2019</t>
        </is>
      </c>
      <c r="B1658" s="1" t="n">
        <v>43698</v>
      </c>
      <c r="C1658" s="1" t="n">
        <v>45210</v>
      </c>
      <c r="D1658" t="inlineStr">
        <is>
          <t>DALARNAS LÄN</t>
        </is>
      </c>
      <c r="E1658" t="inlineStr">
        <is>
          <t>AVESTA</t>
        </is>
      </c>
      <c r="F1658" t="inlineStr">
        <is>
          <t>Sveaskog</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41066-2019</t>
        </is>
      </c>
      <c r="B1659" s="1" t="n">
        <v>43698</v>
      </c>
      <c r="C1659" s="1" t="n">
        <v>45210</v>
      </c>
      <c r="D1659" t="inlineStr">
        <is>
          <t>DALARNAS LÄN</t>
        </is>
      </c>
      <c r="E1659" t="inlineStr">
        <is>
          <t>AVESTA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41329-2019</t>
        </is>
      </c>
      <c r="B1660" s="1" t="n">
        <v>43698</v>
      </c>
      <c r="C1660" s="1" t="n">
        <v>45210</v>
      </c>
      <c r="D1660" t="inlineStr">
        <is>
          <t>DALARNAS LÄN</t>
        </is>
      </c>
      <c r="E1660" t="inlineStr">
        <is>
          <t>LEKSAND</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41421-2019</t>
        </is>
      </c>
      <c r="B1661" s="1" t="n">
        <v>43698</v>
      </c>
      <c r="C1661" s="1" t="n">
        <v>45210</v>
      </c>
      <c r="D1661" t="inlineStr">
        <is>
          <t>DALARNAS LÄN</t>
        </is>
      </c>
      <c r="E1661" t="inlineStr">
        <is>
          <t>SMEDJEBACKEN</t>
        </is>
      </c>
      <c r="F1661" t="inlineStr">
        <is>
          <t>Kyrkan</t>
        </is>
      </c>
      <c r="G1661" t="n">
        <v>5.8</v>
      </c>
      <c r="H1661" t="n">
        <v>0</v>
      </c>
      <c r="I1661" t="n">
        <v>0</v>
      </c>
      <c r="J1661" t="n">
        <v>0</v>
      </c>
      <c r="K1661" t="n">
        <v>0</v>
      </c>
      <c r="L1661" t="n">
        <v>0</v>
      </c>
      <c r="M1661" t="n">
        <v>0</v>
      </c>
      <c r="N1661" t="n">
        <v>0</v>
      </c>
      <c r="O1661" t="n">
        <v>0</v>
      </c>
      <c r="P1661" t="n">
        <v>0</v>
      </c>
      <c r="Q1661" t="n">
        <v>0</v>
      </c>
      <c r="R1661" s="2" t="inlineStr"/>
    </row>
    <row r="1662" ht="15" customHeight="1">
      <c r="A1662" t="inlineStr">
        <is>
          <t>A 41062-2019</t>
        </is>
      </c>
      <c r="B1662" s="1" t="n">
        <v>43698</v>
      </c>
      <c r="C1662" s="1" t="n">
        <v>45210</v>
      </c>
      <c r="D1662" t="inlineStr">
        <is>
          <t>DALARNAS LÄN</t>
        </is>
      </c>
      <c r="E1662" t="inlineStr">
        <is>
          <t>AVESTA</t>
        </is>
      </c>
      <c r="G1662" t="n">
        <v>4.6</v>
      </c>
      <c r="H1662" t="n">
        <v>0</v>
      </c>
      <c r="I1662" t="n">
        <v>0</v>
      </c>
      <c r="J1662" t="n">
        <v>0</v>
      </c>
      <c r="K1662" t="n">
        <v>0</v>
      </c>
      <c r="L1662" t="n">
        <v>0</v>
      </c>
      <c r="M1662" t="n">
        <v>0</v>
      </c>
      <c r="N1662" t="n">
        <v>0</v>
      </c>
      <c r="O1662" t="n">
        <v>0</v>
      </c>
      <c r="P1662" t="n">
        <v>0</v>
      </c>
      <c r="Q1662" t="n">
        <v>0</v>
      </c>
      <c r="R1662" s="2" t="inlineStr"/>
    </row>
    <row r="1663" ht="15" customHeight="1">
      <c r="A1663" t="inlineStr">
        <is>
          <t>A 41399-2019</t>
        </is>
      </c>
      <c r="B1663" s="1" t="n">
        <v>43698</v>
      </c>
      <c r="C1663" s="1" t="n">
        <v>45210</v>
      </c>
      <c r="D1663" t="inlineStr">
        <is>
          <t>DALARNAS LÄN</t>
        </is>
      </c>
      <c r="E1663" t="inlineStr">
        <is>
          <t>HEDEMORA</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41472-2019</t>
        </is>
      </c>
      <c r="B1664" s="1" t="n">
        <v>43699</v>
      </c>
      <c r="C1664" s="1" t="n">
        <v>45210</v>
      </c>
      <c r="D1664" t="inlineStr">
        <is>
          <t>DALARNAS LÄN</t>
        </is>
      </c>
      <c r="E1664" t="inlineStr">
        <is>
          <t>SÄTER</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41853-2019</t>
        </is>
      </c>
      <c r="B1665" s="1" t="n">
        <v>43700</v>
      </c>
      <c r="C1665" s="1" t="n">
        <v>45210</v>
      </c>
      <c r="D1665" t="inlineStr">
        <is>
          <t>DALARNAS LÄN</t>
        </is>
      </c>
      <c r="E1665" t="inlineStr">
        <is>
          <t>GAGNEF</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41995-2019</t>
        </is>
      </c>
      <c r="B1666" s="1" t="n">
        <v>43700</v>
      </c>
      <c r="C1666" s="1" t="n">
        <v>45210</v>
      </c>
      <c r="D1666" t="inlineStr">
        <is>
          <t>DALARNAS LÄN</t>
        </is>
      </c>
      <c r="E1666" t="inlineStr">
        <is>
          <t>VANSBRO</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42846-2019</t>
        </is>
      </c>
      <c r="B1667" s="1" t="n">
        <v>43700</v>
      </c>
      <c r="C1667" s="1" t="n">
        <v>45210</v>
      </c>
      <c r="D1667" t="inlineStr">
        <is>
          <t>DALARNAS LÄN</t>
        </is>
      </c>
      <c r="E1667" t="inlineStr">
        <is>
          <t>RÄTTVIK</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42889-2019</t>
        </is>
      </c>
      <c r="B1668" s="1" t="n">
        <v>43700</v>
      </c>
      <c r="C1668" s="1" t="n">
        <v>45210</v>
      </c>
      <c r="D1668" t="inlineStr">
        <is>
          <t>DALARNAS LÄN</t>
        </is>
      </c>
      <c r="E1668" t="inlineStr">
        <is>
          <t>MALUNG-SÄLEN</t>
        </is>
      </c>
      <c r="F1668" t="inlineStr">
        <is>
          <t>Allmännings- och besparingsskogar</t>
        </is>
      </c>
      <c r="G1668" t="n">
        <v>6.3</v>
      </c>
      <c r="H1668" t="n">
        <v>0</v>
      </c>
      <c r="I1668" t="n">
        <v>0</v>
      </c>
      <c r="J1668" t="n">
        <v>0</v>
      </c>
      <c r="K1668" t="n">
        <v>0</v>
      </c>
      <c r="L1668" t="n">
        <v>0</v>
      </c>
      <c r="M1668" t="n">
        <v>0</v>
      </c>
      <c r="N1668" t="n">
        <v>0</v>
      </c>
      <c r="O1668" t="n">
        <v>0</v>
      </c>
      <c r="P1668" t="n">
        <v>0</v>
      </c>
      <c r="Q1668" t="n">
        <v>0</v>
      </c>
      <c r="R1668" s="2" t="inlineStr"/>
    </row>
    <row r="1669" ht="15" customHeight="1">
      <c r="A1669" t="inlineStr">
        <is>
          <t>A 42881-2019</t>
        </is>
      </c>
      <c r="B1669" s="1" t="n">
        <v>43700</v>
      </c>
      <c r="C1669" s="1" t="n">
        <v>45210</v>
      </c>
      <c r="D1669" t="inlineStr">
        <is>
          <t>DALARNAS LÄN</t>
        </is>
      </c>
      <c r="E1669" t="inlineStr">
        <is>
          <t>MALUNG-SÄLEN</t>
        </is>
      </c>
      <c r="F1669" t="inlineStr">
        <is>
          <t>Allmännings- och besparingsskogar</t>
        </is>
      </c>
      <c r="G1669" t="n">
        <v>8</v>
      </c>
      <c r="H1669" t="n">
        <v>0</v>
      </c>
      <c r="I1669" t="n">
        <v>0</v>
      </c>
      <c r="J1669" t="n">
        <v>0</v>
      </c>
      <c r="K1669" t="n">
        <v>0</v>
      </c>
      <c r="L1669" t="n">
        <v>0</v>
      </c>
      <c r="M1669" t="n">
        <v>0</v>
      </c>
      <c r="N1669" t="n">
        <v>0</v>
      </c>
      <c r="O1669" t="n">
        <v>0</v>
      </c>
      <c r="P1669" t="n">
        <v>0</v>
      </c>
      <c r="Q1669" t="n">
        <v>0</v>
      </c>
      <c r="R1669" s="2" t="inlineStr"/>
    </row>
    <row r="1670" ht="15" customHeight="1">
      <c r="A1670" t="inlineStr">
        <is>
          <t>A 41986-2019</t>
        </is>
      </c>
      <c r="B1670" s="1" t="n">
        <v>43700</v>
      </c>
      <c r="C1670" s="1" t="n">
        <v>45210</v>
      </c>
      <c r="D1670" t="inlineStr">
        <is>
          <t>DALARNAS LÄN</t>
        </is>
      </c>
      <c r="E1670" t="inlineStr">
        <is>
          <t>SMEDJEBACKEN</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42849-2019</t>
        </is>
      </c>
      <c r="B1671" s="1" t="n">
        <v>43700</v>
      </c>
      <c r="C1671" s="1" t="n">
        <v>45210</v>
      </c>
      <c r="D1671" t="inlineStr">
        <is>
          <t>DALARNAS LÄN</t>
        </is>
      </c>
      <c r="E1671" t="inlineStr">
        <is>
          <t>LUDVIKA</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41803-2019</t>
        </is>
      </c>
      <c r="B1672" s="1" t="n">
        <v>43700</v>
      </c>
      <c r="C1672" s="1" t="n">
        <v>45210</v>
      </c>
      <c r="D1672" t="inlineStr">
        <is>
          <t>DALARNAS LÄN</t>
        </is>
      </c>
      <c r="E1672" t="inlineStr">
        <is>
          <t>SMEDJEBACKEN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42684-2019</t>
        </is>
      </c>
      <c r="B1673" s="1" t="n">
        <v>43703</v>
      </c>
      <c r="C1673" s="1" t="n">
        <v>45210</v>
      </c>
      <c r="D1673" t="inlineStr">
        <is>
          <t>DALARNAS LÄN</t>
        </is>
      </c>
      <c r="E1673" t="inlineStr">
        <is>
          <t>SMEDJEBACKEN</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42186-2019</t>
        </is>
      </c>
      <c r="B1674" s="1" t="n">
        <v>43703</v>
      </c>
      <c r="C1674" s="1" t="n">
        <v>45210</v>
      </c>
      <c r="D1674" t="inlineStr">
        <is>
          <t>DALARNAS LÄN</t>
        </is>
      </c>
      <c r="E1674" t="inlineStr">
        <is>
          <t>SMEDJEBACKEN</t>
        </is>
      </c>
      <c r="G1674" t="n">
        <v>8</v>
      </c>
      <c r="H1674" t="n">
        <v>0</v>
      </c>
      <c r="I1674" t="n">
        <v>0</v>
      </c>
      <c r="J1674" t="n">
        <v>0</v>
      </c>
      <c r="K1674" t="n">
        <v>0</v>
      </c>
      <c r="L1674" t="n">
        <v>0</v>
      </c>
      <c r="M1674" t="n">
        <v>0</v>
      </c>
      <c r="N1674" t="n">
        <v>0</v>
      </c>
      <c r="O1674" t="n">
        <v>0</v>
      </c>
      <c r="P1674" t="n">
        <v>0</v>
      </c>
      <c r="Q1674" t="n">
        <v>0</v>
      </c>
      <c r="R1674" s="2" t="inlineStr"/>
    </row>
    <row r="1675" ht="15" customHeight="1">
      <c r="A1675" t="inlineStr">
        <is>
          <t>A 42201-2019</t>
        </is>
      </c>
      <c r="B1675" s="1" t="n">
        <v>43703</v>
      </c>
      <c r="C1675" s="1" t="n">
        <v>45210</v>
      </c>
      <c r="D1675" t="inlineStr">
        <is>
          <t>DALARNAS LÄN</t>
        </is>
      </c>
      <c r="E1675" t="inlineStr">
        <is>
          <t>SMEDJEBACKEN</t>
        </is>
      </c>
      <c r="G1675" t="n">
        <v>5.4</v>
      </c>
      <c r="H1675" t="n">
        <v>0</v>
      </c>
      <c r="I1675" t="n">
        <v>0</v>
      </c>
      <c r="J1675" t="n">
        <v>0</v>
      </c>
      <c r="K1675" t="n">
        <v>0</v>
      </c>
      <c r="L1675" t="n">
        <v>0</v>
      </c>
      <c r="M1675" t="n">
        <v>0</v>
      </c>
      <c r="N1675" t="n">
        <v>0</v>
      </c>
      <c r="O1675" t="n">
        <v>0</v>
      </c>
      <c r="P1675" t="n">
        <v>0</v>
      </c>
      <c r="Q1675" t="n">
        <v>0</v>
      </c>
      <c r="R1675" s="2" t="inlineStr"/>
    </row>
    <row r="1676" ht="15" customHeight="1">
      <c r="A1676" t="inlineStr">
        <is>
          <t>A 43290-2019</t>
        </is>
      </c>
      <c r="B1676" s="1" t="n">
        <v>43703</v>
      </c>
      <c r="C1676" s="1" t="n">
        <v>45210</v>
      </c>
      <c r="D1676" t="inlineStr">
        <is>
          <t>DALARNAS LÄN</t>
        </is>
      </c>
      <c r="E1676" t="inlineStr">
        <is>
          <t>VANSBRO</t>
        </is>
      </c>
      <c r="G1676" t="n">
        <v>9.300000000000001</v>
      </c>
      <c r="H1676" t="n">
        <v>0</v>
      </c>
      <c r="I1676" t="n">
        <v>0</v>
      </c>
      <c r="J1676" t="n">
        <v>0</v>
      </c>
      <c r="K1676" t="n">
        <v>0</v>
      </c>
      <c r="L1676" t="n">
        <v>0</v>
      </c>
      <c r="M1676" t="n">
        <v>0</v>
      </c>
      <c r="N1676" t="n">
        <v>0</v>
      </c>
      <c r="O1676" t="n">
        <v>0</v>
      </c>
      <c r="P1676" t="n">
        <v>0</v>
      </c>
      <c r="Q1676" t="n">
        <v>0</v>
      </c>
      <c r="R1676" s="2" t="inlineStr"/>
    </row>
    <row r="1677" ht="15" customHeight="1">
      <c r="A1677" t="inlineStr">
        <is>
          <t>A 43396-2019</t>
        </is>
      </c>
      <c r="B1677" s="1" t="n">
        <v>43703</v>
      </c>
      <c r="C1677" s="1" t="n">
        <v>45210</v>
      </c>
      <c r="D1677" t="inlineStr">
        <is>
          <t>DALARNAS LÄN</t>
        </is>
      </c>
      <c r="E1677" t="inlineStr">
        <is>
          <t>MORA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42172-2019</t>
        </is>
      </c>
      <c r="B1678" s="1" t="n">
        <v>43703</v>
      </c>
      <c r="C1678" s="1" t="n">
        <v>45210</v>
      </c>
      <c r="D1678" t="inlineStr">
        <is>
          <t>DALARNAS LÄN</t>
        </is>
      </c>
      <c r="E1678" t="inlineStr">
        <is>
          <t>MALUNG-SÄLEN</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42531-2019</t>
        </is>
      </c>
      <c r="B1679" s="1" t="n">
        <v>43704</v>
      </c>
      <c r="C1679" s="1" t="n">
        <v>45210</v>
      </c>
      <c r="D1679" t="inlineStr">
        <is>
          <t>DALARNAS LÄN</t>
        </is>
      </c>
      <c r="E1679" t="inlineStr">
        <is>
          <t>BORLÄNGE</t>
        </is>
      </c>
      <c r="G1679" t="n">
        <v>6.6</v>
      </c>
      <c r="H1679" t="n">
        <v>0</v>
      </c>
      <c r="I1679" t="n">
        <v>0</v>
      </c>
      <c r="J1679" t="n">
        <v>0</v>
      </c>
      <c r="K1679" t="n">
        <v>0</v>
      </c>
      <c r="L1679" t="n">
        <v>0</v>
      </c>
      <c r="M1679" t="n">
        <v>0</v>
      </c>
      <c r="N1679" t="n">
        <v>0</v>
      </c>
      <c r="O1679" t="n">
        <v>0</v>
      </c>
      <c r="P1679" t="n">
        <v>0</v>
      </c>
      <c r="Q1679" t="n">
        <v>0</v>
      </c>
      <c r="R1679" s="2" t="inlineStr"/>
    </row>
    <row r="1680" ht="15" customHeight="1">
      <c r="A1680" t="inlineStr">
        <is>
          <t>A 42540-2019</t>
        </is>
      </c>
      <c r="B1680" s="1" t="n">
        <v>43704</v>
      </c>
      <c r="C1680" s="1" t="n">
        <v>45210</v>
      </c>
      <c r="D1680" t="inlineStr">
        <is>
          <t>DALARNAS LÄN</t>
        </is>
      </c>
      <c r="E1680" t="inlineStr">
        <is>
          <t>BORLÄNGE</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42576-2019</t>
        </is>
      </c>
      <c r="B1681" s="1" t="n">
        <v>43704</v>
      </c>
      <c r="C1681" s="1" t="n">
        <v>45210</v>
      </c>
      <c r="D1681" t="inlineStr">
        <is>
          <t>DALARNAS LÄN</t>
        </is>
      </c>
      <c r="E1681" t="inlineStr">
        <is>
          <t>SMEDJEBACKEN</t>
        </is>
      </c>
      <c r="G1681" t="n">
        <v>3.8</v>
      </c>
      <c r="H1681" t="n">
        <v>0</v>
      </c>
      <c r="I1681" t="n">
        <v>0</v>
      </c>
      <c r="J1681" t="n">
        <v>0</v>
      </c>
      <c r="K1681" t="n">
        <v>0</v>
      </c>
      <c r="L1681" t="n">
        <v>0</v>
      </c>
      <c r="M1681" t="n">
        <v>0</v>
      </c>
      <c r="N1681" t="n">
        <v>0</v>
      </c>
      <c r="O1681" t="n">
        <v>0</v>
      </c>
      <c r="P1681" t="n">
        <v>0</v>
      </c>
      <c r="Q1681" t="n">
        <v>0</v>
      </c>
      <c r="R1681" s="2" t="inlineStr"/>
    </row>
    <row r="1682" ht="15" customHeight="1">
      <c r="A1682" t="inlineStr">
        <is>
          <t>A 42743-2019</t>
        </is>
      </c>
      <c r="B1682" s="1" t="n">
        <v>43704</v>
      </c>
      <c r="C1682" s="1" t="n">
        <v>45210</v>
      </c>
      <c r="D1682" t="inlineStr">
        <is>
          <t>DALARNAS LÄN</t>
        </is>
      </c>
      <c r="E1682" t="inlineStr">
        <is>
          <t>VANSBRO</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43082-2019</t>
        </is>
      </c>
      <c r="B1683" s="1" t="n">
        <v>43705</v>
      </c>
      <c r="C1683" s="1" t="n">
        <v>45210</v>
      </c>
      <c r="D1683" t="inlineStr">
        <is>
          <t>DALARNAS LÄN</t>
        </is>
      </c>
      <c r="E1683" t="inlineStr">
        <is>
          <t>LEKSAND</t>
        </is>
      </c>
      <c r="F1683" t="inlineStr">
        <is>
          <t>Bergvik skog väst AB</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42949-2019</t>
        </is>
      </c>
      <c r="B1684" s="1" t="n">
        <v>43705</v>
      </c>
      <c r="C1684" s="1" t="n">
        <v>45210</v>
      </c>
      <c r="D1684" t="inlineStr">
        <is>
          <t>DALARNAS LÄN</t>
        </is>
      </c>
      <c r="E1684" t="inlineStr">
        <is>
          <t>RÄTTVIK</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43074-2019</t>
        </is>
      </c>
      <c r="B1685" s="1" t="n">
        <v>43705</v>
      </c>
      <c r="C1685" s="1" t="n">
        <v>45210</v>
      </c>
      <c r="D1685" t="inlineStr">
        <is>
          <t>DALARNAS LÄN</t>
        </is>
      </c>
      <c r="E1685" t="inlineStr">
        <is>
          <t>LUDVIKA</t>
        </is>
      </c>
      <c r="F1685" t="inlineStr">
        <is>
          <t>Bergvik skog väst AB</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44384-2019</t>
        </is>
      </c>
      <c r="B1686" s="1" t="n">
        <v>43705</v>
      </c>
      <c r="C1686" s="1" t="n">
        <v>45210</v>
      </c>
      <c r="D1686" t="inlineStr">
        <is>
          <t>DALARNAS LÄN</t>
        </is>
      </c>
      <c r="E1686" t="inlineStr">
        <is>
          <t>GAGNEF</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43543-2019</t>
        </is>
      </c>
      <c r="B1687" s="1" t="n">
        <v>43706</v>
      </c>
      <c r="C1687" s="1" t="n">
        <v>45210</v>
      </c>
      <c r="D1687" t="inlineStr">
        <is>
          <t>DALARNAS LÄN</t>
        </is>
      </c>
      <c r="E1687" t="inlineStr">
        <is>
          <t>ÄLVDALEN</t>
        </is>
      </c>
      <c r="F1687" t="inlineStr">
        <is>
          <t>Sveaskog</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43510-2019</t>
        </is>
      </c>
      <c r="B1688" s="1" t="n">
        <v>43706</v>
      </c>
      <c r="C1688" s="1" t="n">
        <v>45210</v>
      </c>
      <c r="D1688" t="inlineStr">
        <is>
          <t>DALARNAS LÄN</t>
        </is>
      </c>
      <c r="E1688" t="inlineStr">
        <is>
          <t>SMEDJEBACKEN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43530-2019</t>
        </is>
      </c>
      <c r="B1689" s="1" t="n">
        <v>43706</v>
      </c>
      <c r="C1689" s="1" t="n">
        <v>45210</v>
      </c>
      <c r="D1689" t="inlineStr">
        <is>
          <t>DALARNAS LÄN</t>
        </is>
      </c>
      <c r="E1689" t="inlineStr">
        <is>
          <t>HEDEMORA</t>
        </is>
      </c>
      <c r="F1689" t="inlineStr">
        <is>
          <t>Sveaskog</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43540-2019</t>
        </is>
      </c>
      <c r="B1690" s="1" t="n">
        <v>43706</v>
      </c>
      <c r="C1690" s="1" t="n">
        <v>45210</v>
      </c>
      <c r="D1690" t="inlineStr">
        <is>
          <t>DALARNAS LÄN</t>
        </is>
      </c>
      <c r="E1690" t="inlineStr">
        <is>
          <t>ÄLVDALEN</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43523-2019</t>
        </is>
      </c>
      <c r="B1691" s="1" t="n">
        <v>43706</v>
      </c>
      <c r="C1691" s="1" t="n">
        <v>45210</v>
      </c>
      <c r="D1691" t="inlineStr">
        <is>
          <t>DALARNAS LÄN</t>
        </is>
      </c>
      <c r="E1691" t="inlineStr">
        <is>
          <t>AVESTA</t>
        </is>
      </c>
      <c r="F1691" t="inlineStr">
        <is>
          <t>Kyrkan</t>
        </is>
      </c>
      <c r="G1691" t="n">
        <v>3.3</v>
      </c>
      <c r="H1691" t="n">
        <v>0</v>
      </c>
      <c r="I1691" t="n">
        <v>0</v>
      </c>
      <c r="J1691" t="n">
        <v>0</v>
      </c>
      <c r="K1691" t="n">
        <v>0</v>
      </c>
      <c r="L1691" t="n">
        <v>0</v>
      </c>
      <c r="M1691" t="n">
        <v>0</v>
      </c>
      <c r="N1691" t="n">
        <v>0</v>
      </c>
      <c r="O1691" t="n">
        <v>0</v>
      </c>
      <c r="P1691" t="n">
        <v>0</v>
      </c>
      <c r="Q1691" t="n">
        <v>0</v>
      </c>
      <c r="R1691" s="2" t="inlineStr"/>
    </row>
    <row r="1692" ht="15" customHeight="1">
      <c r="A1692" t="inlineStr">
        <is>
          <t>A 43835-2019</t>
        </is>
      </c>
      <c r="B1692" s="1" t="n">
        <v>43707</v>
      </c>
      <c r="C1692" s="1" t="n">
        <v>45210</v>
      </c>
      <c r="D1692" t="inlineStr">
        <is>
          <t>DALARNAS LÄN</t>
        </is>
      </c>
      <c r="E1692" t="inlineStr">
        <is>
          <t>BORLÄNGE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43887-2019</t>
        </is>
      </c>
      <c r="B1693" s="1" t="n">
        <v>43707</v>
      </c>
      <c r="C1693" s="1" t="n">
        <v>45210</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43884-2019</t>
        </is>
      </c>
      <c r="B1694" s="1" t="n">
        <v>43707</v>
      </c>
      <c r="C1694" s="1" t="n">
        <v>45210</v>
      </c>
      <c r="D1694" t="inlineStr">
        <is>
          <t>DALARNAS LÄN</t>
        </is>
      </c>
      <c r="E1694" t="inlineStr">
        <is>
          <t>LEKSAND</t>
        </is>
      </c>
      <c r="F1694" t="inlineStr">
        <is>
          <t>Övriga Aktiebolag</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44766-2019</t>
        </is>
      </c>
      <c r="B1695" s="1" t="n">
        <v>43707</v>
      </c>
      <c r="C1695" s="1" t="n">
        <v>45210</v>
      </c>
      <c r="D1695" t="inlineStr">
        <is>
          <t>DALARNAS LÄN</t>
        </is>
      </c>
      <c r="E1695" t="inlineStr">
        <is>
          <t>MORA</t>
        </is>
      </c>
      <c r="F1695" t="inlineStr">
        <is>
          <t>Allmännings- och besparingsskogar</t>
        </is>
      </c>
      <c r="G1695" t="n">
        <v>32.2</v>
      </c>
      <c r="H1695" t="n">
        <v>0</v>
      </c>
      <c r="I1695" t="n">
        <v>0</v>
      </c>
      <c r="J1695" t="n">
        <v>0</v>
      </c>
      <c r="K1695" t="n">
        <v>0</v>
      </c>
      <c r="L1695" t="n">
        <v>0</v>
      </c>
      <c r="M1695" t="n">
        <v>0</v>
      </c>
      <c r="N1695" t="n">
        <v>0</v>
      </c>
      <c r="O1695" t="n">
        <v>0</v>
      </c>
      <c r="P1695" t="n">
        <v>0</v>
      </c>
      <c r="Q1695" t="n">
        <v>0</v>
      </c>
      <c r="R1695" s="2" t="inlineStr"/>
    </row>
    <row r="1696" ht="15" customHeight="1">
      <c r="A1696" t="inlineStr">
        <is>
          <t>A 43718-2019</t>
        </is>
      </c>
      <c r="B1696" s="1" t="n">
        <v>43707</v>
      </c>
      <c r="C1696" s="1" t="n">
        <v>45210</v>
      </c>
      <c r="D1696" t="inlineStr">
        <is>
          <t>DALARNAS LÄN</t>
        </is>
      </c>
      <c r="E1696" t="inlineStr">
        <is>
          <t>MORA</t>
        </is>
      </c>
      <c r="G1696" t="n">
        <v>10.7</v>
      </c>
      <c r="H1696" t="n">
        <v>0</v>
      </c>
      <c r="I1696" t="n">
        <v>0</v>
      </c>
      <c r="J1696" t="n">
        <v>0</v>
      </c>
      <c r="K1696" t="n">
        <v>0</v>
      </c>
      <c r="L1696" t="n">
        <v>0</v>
      </c>
      <c r="M1696" t="n">
        <v>0</v>
      </c>
      <c r="N1696" t="n">
        <v>0</v>
      </c>
      <c r="O1696" t="n">
        <v>0</v>
      </c>
      <c r="P1696" t="n">
        <v>0</v>
      </c>
      <c r="Q1696" t="n">
        <v>0</v>
      </c>
      <c r="R1696" s="2" t="inlineStr"/>
    </row>
    <row r="1697" ht="15" customHeight="1">
      <c r="A1697" t="inlineStr">
        <is>
          <t>A 44759-2019</t>
        </is>
      </c>
      <c r="B1697" s="1" t="n">
        <v>43707</v>
      </c>
      <c r="C1697" s="1" t="n">
        <v>45210</v>
      </c>
      <c r="D1697" t="inlineStr">
        <is>
          <t>DALARNAS LÄN</t>
        </is>
      </c>
      <c r="E1697" t="inlineStr">
        <is>
          <t>MORA</t>
        </is>
      </c>
      <c r="F1697" t="inlineStr">
        <is>
          <t>Allmännings- och besparingsskogar</t>
        </is>
      </c>
      <c r="G1697" t="n">
        <v>6.8</v>
      </c>
      <c r="H1697" t="n">
        <v>0</v>
      </c>
      <c r="I1697" t="n">
        <v>0</v>
      </c>
      <c r="J1697" t="n">
        <v>0</v>
      </c>
      <c r="K1697" t="n">
        <v>0</v>
      </c>
      <c r="L1697" t="n">
        <v>0</v>
      </c>
      <c r="M1697" t="n">
        <v>0</v>
      </c>
      <c r="N1697" t="n">
        <v>0</v>
      </c>
      <c r="O1697" t="n">
        <v>0</v>
      </c>
      <c r="P1697" t="n">
        <v>0</v>
      </c>
      <c r="Q1697" t="n">
        <v>0</v>
      </c>
      <c r="R1697" s="2" t="inlineStr"/>
    </row>
    <row r="1698" ht="15" customHeight="1">
      <c r="A1698" t="inlineStr">
        <is>
          <t>A 44058-2019</t>
        </is>
      </c>
      <c r="B1698" s="1" t="n">
        <v>43710</v>
      </c>
      <c r="C1698" s="1" t="n">
        <v>45210</v>
      </c>
      <c r="D1698" t="inlineStr">
        <is>
          <t>DALARNAS LÄN</t>
        </is>
      </c>
      <c r="E1698" t="inlineStr">
        <is>
          <t>LEKSAND</t>
        </is>
      </c>
      <c r="F1698" t="inlineStr">
        <is>
          <t>Kyrkan</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44126-2019</t>
        </is>
      </c>
      <c r="B1699" s="1" t="n">
        <v>43710</v>
      </c>
      <c r="C1699" s="1" t="n">
        <v>45210</v>
      </c>
      <c r="D1699" t="inlineStr">
        <is>
          <t>DALARNAS LÄN</t>
        </is>
      </c>
      <c r="E1699" t="inlineStr">
        <is>
          <t>VANSBRO</t>
        </is>
      </c>
      <c r="G1699" t="n">
        <v>3.6</v>
      </c>
      <c r="H1699" t="n">
        <v>0</v>
      </c>
      <c r="I1699" t="n">
        <v>0</v>
      </c>
      <c r="J1699" t="n">
        <v>0</v>
      </c>
      <c r="K1699" t="n">
        <v>0</v>
      </c>
      <c r="L1699" t="n">
        <v>0</v>
      </c>
      <c r="M1699" t="n">
        <v>0</v>
      </c>
      <c r="N1699" t="n">
        <v>0</v>
      </c>
      <c r="O1699" t="n">
        <v>0</v>
      </c>
      <c r="P1699" t="n">
        <v>0</v>
      </c>
      <c r="Q1699" t="n">
        <v>0</v>
      </c>
      <c r="R1699" s="2" t="inlineStr"/>
    </row>
    <row r="1700" ht="15" customHeight="1">
      <c r="A1700" t="inlineStr">
        <is>
          <t>A 44092-2019</t>
        </is>
      </c>
      <c r="B1700" s="1" t="n">
        <v>43710</v>
      </c>
      <c r="C1700" s="1" t="n">
        <v>45210</v>
      </c>
      <c r="D1700" t="inlineStr">
        <is>
          <t>DALARNAS LÄN</t>
        </is>
      </c>
      <c r="E1700" t="inlineStr">
        <is>
          <t>FALUN</t>
        </is>
      </c>
      <c r="F1700" t="inlineStr">
        <is>
          <t>Bergvik skog väst AB</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44118-2019</t>
        </is>
      </c>
      <c r="B1701" s="1" t="n">
        <v>43710</v>
      </c>
      <c r="C1701" s="1" t="n">
        <v>45210</v>
      </c>
      <c r="D1701" t="inlineStr">
        <is>
          <t>DALARNAS LÄN</t>
        </is>
      </c>
      <c r="E1701" t="inlineStr">
        <is>
          <t>VANSBRO</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44601-2019</t>
        </is>
      </c>
      <c r="B1702" s="1" t="n">
        <v>43711</v>
      </c>
      <c r="C1702" s="1" t="n">
        <v>45210</v>
      </c>
      <c r="D1702" t="inlineStr">
        <is>
          <t>DALARNAS LÄN</t>
        </is>
      </c>
      <c r="E1702" t="inlineStr">
        <is>
          <t>SÄTER</t>
        </is>
      </c>
      <c r="G1702" t="n">
        <v>6.8</v>
      </c>
      <c r="H1702" t="n">
        <v>0</v>
      </c>
      <c r="I1702" t="n">
        <v>0</v>
      </c>
      <c r="J1702" t="n">
        <v>0</v>
      </c>
      <c r="K1702" t="n">
        <v>0</v>
      </c>
      <c r="L1702" t="n">
        <v>0</v>
      </c>
      <c r="M1702" t="n">
        <v>0</v>
      </c>
      <c r="N1702" t="n">
        <v>0</v>
      </c>
      <c r="O1702" t="n">
        <v>0</v>
      </c>
      <c r="P1702" t="n">
        <v>0</v>
      </c>
      <c r="Q1702" t="n">
        <v>0</v>
      </c>
      <c r="R1702" s="2" t="inlineStr"/>
    </row>
    <row r="1703" ht="15" customHeight="1">
      <c r="A1703" t="inlineStr">
        <is>
          <t>A 44376-2019</t>
        </is>
      </c>
      <c r="B1703" s="1" t="n">
        <v>43711</v>
      </c>
      <c r="C1703" s="1" t="n">
        <v>45210</v>
      </c>
      <c r="D1703" t="inlineStr">
        <is>
          <t>DALARNAS LÄN</t>
        </is>
      </c>
      <c r="E1703" t="inlineStr">
        <is>
          <t>RÄTTVIK</t>
        </is>
      </c>
      <c r="F1703" t="inlineStr">
        <is>
          <t>Bergvik skog väst AB</t>
        </is>
      </c>
      <c r="G1703" t="n">
        <v>17.4</v>
      </c>
      <c r="H1703" t="n">
        <v>0</v>
      </c>
      <c r="I1703" t="n">
        <v>0</v>
      </c>
      <c r="J1703" t="n">
        <v>0</v>
      </c>
      <c r="K1703" t="n">
        <v>0</v>
      </c>
      <c r="L1703" t="n">
        <v>0</v>
      </c>
      <c r="M1703" t="n">
        <v>0</v>
      </c>
      <c r="N1703" t="n">
        <v>0</v>
      </c>
      <c r="O1703" t="n">
        <v>0</v>
      </c>
      <c r="P1703" t="n">
        <v>0</v>
      </c>
      <c r="Q1703" t="n">
        <v>0</v>
      </c>
      <c r="R1703" s="2" t="inlineStr"/>
    </row>
    <row r="1704" ht="15" customHeight="1">
      <c r="A1704" t="inlineStr">
        <is>
          <t>A 44697-2019</t>
        </is>
      </c>
      <c r="B1704" s="1" t="n">
        <v>43712</v>
      </c>
      <c r="C1704" s="1" t="n">
        <v>45210</v>
      </c>
      <c r="D1704" t="inlineStr">
        <is>
          <t>DALARNAS LÄN</t>
        </is>
      </c>
      <c r="E1704" t="inlineStr">
        <is>
          <t>RÄTTVIK</t>
        </is>
      </c>
      <c r="G1704" t="n">
        <v>6.3</v>
      </c>
      <c r="H1704" t="n">
        <v>0</v>
      </c>
      <c r="I1704" t="n">
        <v>0</v>
      </c>
      <c r="J1704" t="n">
        <v>0</v>
      </c>
      <c r="K1704" t="n">
        <v>0</v>
      </c>
      <c r="L1704" t="n">
        <v>0</v>
      </c>
      <c r="M1704" t="n">
        <v>0</v>
      </c>
      <c r="N1704" t="n">
        <v>0</v>
      </c>
      <c r="O1704" t="n">
        <v>0</v>
      </c>
      <c r="P1704" t="n">
        <v>0</v>
      </c>
      <c r="Q1704" t="n">
        <v>0</v>
      </c>
      <c r="R1704" s="2" t="inlineStr"/>
    </row>
    <row r="1705" ht="15" customHeight="1">
      <c r="A1705" t="inlineStr">
        <is>
          <t>A 44663-2019</t>
        </is>
      </c>
      <c r="B1705" s="1" t="n">
        <v>43712</v>
      </c>
      <c r="C1705" s="1" t="n">
        <v>45210</v>
      </c>
      <c r="D1705" t="inlineStr">
        <is>
          <t>DALARNAS LÄN</t>
        </is>
      </c>
      <c r="E1705" t="inlineStr">
        <is>
          <t>AVESTA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46167-2019</t>
        </is>
      </c>
      <c r="B1706" s="1" t="n">
        <v>43712</v>
      </c>
      <c r="C1706" s="1" t="n">
        <v>45210</v>
      </c>
      <c r="D1706" t="inlineStr">
        <is>
          <t>DALARNAS LÄN</t>
        </is>
      </c>
      <c r="E1706" t="inlineStr">
        <is>
          <t>GAGNEF</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44937-2019</t>
        </is>
      </c>
      <c r="B1707" s="1" t="n">
        <v>43713</v>
      </c>
      <c r="C1707" s="1" t="n">
        <v>45210</v>
      </c>
      <c r="D1707" t="inlineStr">
        <is>
          <t>DALARNAS LÄN</t>
        </is>
      </c>
      <c r="E1707" t="inlineStr">
        <is>
          <t>FALUN</t>
        </is>
      </c>
      <c r="F1707" t="inlineStr">
        <is>
          <t>Bergvik skog väst AB</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44944-2019</t>
        </is>
      </c>
      <c r="B1708" s="1" t="n">
        <v>43713</v>
      </c>
      <c r="C1708" s="1" t="n">
        <v>45210</v>
      </c>
      <c r="D1708" t="inlineStr">
        <is>
          <t>DALARNAS LÄN</t>
        </is>
      </c>
      <c r="E1708" t="inlineStr">
        <is>
          <t>FALUN</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45991-2019</t>
        </is>
      </c>
      <c r="B1709" s="1" t="n">
        <v>43713</v>
      </c>
      <c r="C1709" s="1" t="n">
        <v>45210</v>
      </c>
      <c r="D1709" t="inlineStr">
        <is>
          <t>DALARNAS LÄN</t>
        </is>
      </c>
      <c r="E1709" t="inlineStr">
        <is>
          <t>RÄTTVIK</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47233-2019</t>
        </is>
      </c>
      <c r="B1710" s="1" t="n">
        <v>43713</v>
      </c>
      <c r="C1710" s="1" t="n">
        <v>45210</v>
      </c>
      <c r="D1710" t="inlineStr">
        <is>
          <t>DALARNAS LÄN</t>
        </is>
      </c>
      <c r="E1710" t="inlineStr">
        <is>
          <t>MALUNG-SÄLEN</t>
        </is>
      </c>
      <c r="G1710" t="n">
        <v>6.7</v>
      </c>
      <c r="H1710" t="n">
        <v>0</v>
      </c>
      <c r="I1710" t="n">
        <v>0</v>
      </c>
      <c r="J1710" t="n">
        <v>0</v>
      </c>
      <c r="K1710" t="n">
        <v>0</v>
      </c>
      <c r="L1710" t="n">
        <v>0</v>
      </c>
      <c r="M1710" t="n">
        <v>0</v>
      </c>
      <c r="N1710" t="n">
        <v>0</v>
      </c>
      <c r="O1710" t="n">
        <v>0</v>
      </c>
      <c r="P1710" t="n">
        <v>0</v>
      </c>
      <c r="Q1710" t="n">
        <v>0</v>
      </c>
      <c r="R1710" s="2" t="inlineStr"/>
    </row>
    <row r="1711" ht="15" customHeight="1">
      <c r="A1711" t="inlineStr">
        <is>
          <t>A 44909-2019</t>
        </is>
      </c>
      <c r="B1711" s="1" t="n">
        <v>43713</v>
      </c>
      <c r="C1711" s="1" t="n">
        <v>45210</v>
      </c>
      <c r="D1711" t="inlineStr">
        <is>
          <t>DALARNAS LÄN</t>
        </is>
      </c>
      <c r="E1711" t="inlineStr">
        <is>
          <t>VANSBRO</t>
        </is>
      </c>
      <c r="F1711" t="inlineStr">
        <is>
          <t>Bergvik skog väst AB</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45135-2019</t>
        </is>
      </c>
      <c r="B1712" s="1" t="n">
        <v>43713</v>
      </c>
      <c r="C1712" s="1" t="n">
        <v>45210</v>
      </c>
      <c r="D1712" t="inlineStr">
        <is>
          <t>DALARNAS LÄN</t>
        </is>
      </c>
      <c r="E1712" t="inlineStr">
        <is>
          <t>MALUNG-SÄLEN</t>
        </is>
      </c>
      <c r="G1712" t="n">
        <v>4.3</v>
      </c>
      <c r="H1712" t="n">
        <v>0</v>
      </c>
      <c r="I1712" t="n">
        <v>0</v>
      </c>
      <c r="J1712" t="n">
        <v>0</v>
      </c>
      <c r="K1712" t="n">
        <v>0</v>
      </c>
      <c r="L1712" t="n">
        <v>0</v>
      </c>
      <c r="M1712" t="n">
        <v>0</v>
      </c>
      <c r="N1712" t="n">
        <v>0</v>
      </c>
      <c r="O1712" t="n">
        <v>0</v>
      </c>
      <c r="P1712" t="n">
        <v>0</v>
      </c>
      <c r="Q1712" t="n">
        <v>0</v>
      </c>
      <c r="R1712" s="2" t="inlineStr"/>
    </row>
    <row r="1713" ht="15" customHeight="1">
      <c r="A1713" t="inlineStr">
        <is>
          <t>A 45996-2019</t>
        </is>
      </c>
      <c r="B1713" s="1" t="n">
        <v>43713</v>
      </c>
      <c r="C1713" s="1" t="n">
        <v>45210</v>
      </c>
      <c r="D1713" t="inlineStr">
        <is>
          <t>DALARNAS LÄN</t>
        </is>
      </c>
      <c r="E1713" t="inlineStr">
        <is>
          <t>ORSA</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47236-2019</t>
        </is>
      </c>
      <c r="B1714" s="1" t="n">
        <v>43713</v>
      </c>
      <c r="C1714" s="1" t="n">
        <v>45210</v>
      </c>
      <c r="D1714" t="inlineStr">
        <is>
          <t>DALARNAS LÄN</t>
        </is>
      </c>
      <c r="E1714" t="inlineStr">
        <is>
          <t>MALUNG-SÄLEN</t>
        </is>
      </c>
      <c r="G1714" t="n">
        <v>7.9</v>
      </c>
      <c r="H1714" t="n">
        <v>0</v>
      </c>
      <c r="I1714" t="n">
        <v>0</v>
      </c>
      <c r="J1714" t="n">
        <v>0</v>
      </c>
      <c r="K1714" t="n">
        <v>0</v>
      </c>
      <c r="L1714" t="n">
        <v>0</v>
      </c>
      <c r="M1714" t="n">
        <v>0</v>
      </c>
      <c r="N1714" t="n">
        <v>0</v>
      </c>
      <c r="O1714" t="n">
        <v>0</v>
      </c>
      <c r="P1714" t="n">
        <v>0</v>
      </c>
      <c r="Q1714" t="n">
        <v>0</v>
      </c>
      <c r="R1714" s="2" t="inlineStr"/>
    </row>
    <row r="1715" ht="15" customHeight="1">
      <c r="A1715" t="inlineStr">
        <is>
          <t>A 45119-2019</t>
        </is>
      </c>
      <c r="B1715" s="1" t="n">
        <v>43713</v>
      </c>
      <c r="C1715" s="1" t="n">
        <v>45210</v>
      </c>
      <c r="D1715" t="inlineStr">
        <is>
          <t>DALARNAS LÄN</t>
        </is>
      </c>
      <c r="E1715" t="inlineStr">
        <is>
          <t>FALUN</t>
        </is>
      </c>
      <c r="F1715" t="inlineStr">
        <is>
          <t>Bergvik skog väst AB</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46213-2019</t>
        </is>
      </c>
      <c r="B1716" s="1" t="n">
        <v>43714</v>
      </c>
      <c r="C1716" s="1" t="n">
        <v>45210</v>
      </c>
      <c r="D1716" t="inlineStr">
        <is>
          <t>DALARNAS LÄN</t>
        </is>
      </c>
      <c r="E1716" t="inlineStr">
        <is>
          <t>RÄTTVIK</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45513-2019</t>
        </is>
      </c>
      <c r="B1717" s="1" t="n">
        <v>43714</v>
      </c>
      <c r="C1717" s="1" t="n">
        <v>45210</v>
      </c>
      <c r="D1717" t="inlineStr">
        <is>
          <t>DALARNAS LÄN</t>
        </is>
      </c>
      <c r="E1717" t="inlineStr">
        <is>
          <t>VANSBRO</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45526-2019</t>
        </is>
      </c>
      <c r="B1718" s="1" t="n">
        <v>43714</v>
      </c>
      <c r="C1718" s="1" t="n">
        <v>45210</v>
      </c>
      <c r="D1718" t="inlineStr">
        <is>
          <t>DALARNAS LÄN</t>
        </is>
      </c>
      <c r="E1718" t="inlineStr">
        <is>
          <t>LEKSAND</t>
        </is>
      </c>
      <c r="F1718" t="inlineStr">
        <is>
          <t>Bergvik skog väst AB</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46214-2019</t>
        </is>
      </c>
      <c r="B1719" s="1" t="n">
        <v>43714</v>
      </c>
      <c r="C1719" s="1" t="n">
        <v>45210</v>
      </c>
      <c r="D1719" t="inlineStr">
        <is>
          <t>DALARNAS LÄN</t>
        </is>
      </c>
      <c r="E1719" t="inlineStr">
        <is>
          <t>RÄTTVIK</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45283-2019</t>
        </is>
      </c>
      <c r="B1720" s="1" t="n">
        <v>43714</v>
      </c>
      <c r="C1720" s="1" t="n">
        <v>45210</v>
      </c>
      <c r="D1720" t="inlineStr">
        <is>
          <t>DALARNAS LÄN</t>
        </is>
      </c>
      <c r="E1720" t="inlineStr">
        <is>
          <t>FALUN</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45480-2019</t>
        </is>
      </c>
      <c r="B1721" s="1" t="n">
        <v>43714</v>
      </c>
      <c r="C1721" s="1" t="n">
        <v>45210</v>
      </c>
      <c r="D1721" t="inlineStr">
        <is>
          <t>DALARNAS LÄN</t>
        </is>
      </c>
      <c r="E1721" t="inlineStr">
        <is>
          <t>LUDVIKA</t>
        </is>
      </c>
      <c r="F1721" t="inlineStr">
        <is>
          <t>Bergvik skog väst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46240-2019</t>
        </is>
      </c>
      <c r="B1722" s="1" t="n">
        <v>43714</v>
      </c>
      <c r="C1722" s="1" t="n">
        <v>45210</v>
      </c>
      <c r="D1722" t="inlineStr">
        <is>
          <t>DALARNAS LÄN</t>
        </is>
      </c>
      <c r="E1722" t="inlineStr">
        <is>
          <t>ÄLVDALEN</t>
        </is>
      </c>
      <c r="G1722" t="n">
        <v>19.4</v>
      </c>
      <c r="H1722" t="n">
        <v>0</v>
      </c>
      <c r="I1722" t="n">
        <v>0</v>
      </c>
      <c r="J1722" t="n">
        <v>0</v>
      </c>
      <c r="K1722" t="n">
        <v>0</v>
      </c>
      <c r="L1722" t="n">
        <v>0</v>
      </c>
      <c r="M1722" t="n">
        <v>0</v>
      </c>
      <c r="N1722" t="n">
        <v>0</v>
      </c>
      <c r="O1722" t="n">
        <v>0</v>
      </c>
      <c r="P1722" t="n">
        <v>0</v>
      </c>
      <c r="Q1722" t="n">
        <v>0</v>
      </c>
      <c r="R1722" s="2" t="inlineStr"/>
    </row>
    <row r="1723" ht="15" customHeight="1">
      <c r="A1723" t="inlineStr">
        <is>
          <t>A 45572-2019</t>
        </is>
      </c>
      <c r="B1723" s="1" t="n">
        <v>43716</v>
      </c>
      <c r="C1723" s="1" t="n">
        <v>45210</v>
      </c>
      <c r="D1723" t="inlineStr">
        <is>
          <t>DALARNAS LÄN</t>
        </is>
      </c>
      <c r="E1723" t="inlineStr">
        <is>
          <t>LEKSAND</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45738-2019</t>
        </is>
      </c>
      <c r="B1724" s="1" t="n">
        <v>43717</v>
      </c>
      <c r="C1724" s="1" t="n">
        <v>45210</v>
      </c>
      <c r="D1724" t="inlineStr">
        <is>
          <t>DALARNAS LÄN</t>
        </is>
      </c>
      <c r="E1724" t="inlineStr">
        <is>
          <t>MALUNG-SÄLEN</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45750-2019</t>
        </is>
      </c>
      <c r="B1725" s="1" t="n">
        <v>43717</v>
      </c>
      <c r="C1725" s="1" t="n">
        <v>45210</v>
      </c>
      <c r="D1725" t="inlineStr">
        <is>
          <t>DALARNAS LÄN</t>
        </is>
      </c>
      <c r="E1725" t="inlineStr">
        <is>
          <t>MALUNG-SÄLEN</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45827-2019</t>
        </is>
      </c>
      <c r="B1726" s="1" t="n">
        <v>43717</v>
      </c>
      <c r="C1726" s="1" t="n">
        <v>45210</v>
      </c>
      <c r="D1726" t="inlineStr">
        <is>
          <t>DALARNAS LÄN</t>
        </is>
      </c>
      <c r="E1726" t="inlineStr">
        <is>
          <t>AVESTA</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45612-2019</t>
        </is>
      </c>
      <c r="B1727" s="1" t="n">
        <v>43717</v>
      </c>
      <c r="C1727" s="1" t="n">
        <v>45210</v>
      </c>
      <c r="D1727" t="inlineStr">
        <is>
          <t>DALARNAS LÄN</t>
        </is>
      </c>
      <c r="E1727" t="inlineStr">
        <is>
          <t>ORSA</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45697-2019</t>
        </is>
      </c>
      <c r="B1728" s="1" t="n">
        <v>43717</v>
      </c>
      <c r="C1728" s="1" t="n">
        <v>45210</v>
      </c>
      <c r="D1728" t="inlineStr">
        <is>
          <t>DALARNAS LÄN</t>
        </is>
      </c>
      <c r="E1728" t="inlineStr">
        <is>
          <t>MALUNG-SÄLEN</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46525-2019</t>
        </is>
      </c>
      <c r="B1729" s="1" t="n">
        <v>43717</v>
      </c>
      <c r="C1729" s="1" t="n">
        <v>45210</v>
      </c>
      <c r="D1729" t="inlineStr">
        <is>
          <t>DALARNAS LÄN</t>
        </is>
      </c>
      <c r="E1729" t="inlineStr">
        <is>
          <t>RÄTTVIK</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45942-2019</t>
        </is>
      </c>
      <c r="B1730" s="1" t="n">
        <v>43718</v>
      </c>
      <c r="C1730" s="1" t="n">
        <v>45210</v>
      </c>
      <c r="D1730" t="inlineStr">
        <is>
          <t>DALARNAS LÄN</t>
        </is>
      </c>
      <c r="E1730" t="inlineStr">
        <is>
          <t>VANSBRO</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45943-2019</t>
        </is>
      </c>
      <c r="B1731" s="1" t="n">
        <v>43718</v>
      </c>
      <c r="C1731" s="1" t="n">
        <v>45210</v>
      </c>
      <c r="D1731" t="inlineStr">
        <is>
          <t>DALARNAS LÄN</t>
        </is>
      </c>
      <c r="E1731" t="inlineStr">
        <is>
          <t>VANSBRO</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45598-2019</t>
        </is>
      </c>
      <c r="B1732" s="1" t="n">
        <v>43718</v>
      </c>
      <c r="C1732" s="1" t="n">
        <v>45210</v>
      </c>
      <c r="D1732" t="inlineStr">
        <is>
          <t>DALARNAS LÄN</t>
        </is>
      </c>
      <c r="E1732" t="inlineStr">
        <is>
          <t>RÄTTVIK</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45989-2019</t>
        </is>
      </c>
      <c r="B1733" s="1" t="n">
        <v>43718</v>
      </c>
      <c r="C1733" s="1" t="n">
        <v>45210</v>
      </c>
      <c r="D1733" t="inlineStr">
        <is>
          <t>DALARNAS LÄN</t>
        </is>
      </c>
      <c r="E1733" t="inlineStr">
        <is>
          <t>MORA</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46171-2019</t>
        </is>
      </c>
      <c r="B1734" s="1" t="n">
        <v>43718</v>
      </c>
      <c r="C1734" s="1" t="n">
        <v>45210</v>
      </c>
      <c r="D1734" t="inlineStr">
        <is>
          <t>DALARNAS LÄN</t>
        </is>
      </c>
      <c r="E1734" t="inlineStr">
        <is>
          <t>MORA</t>
        </is>
      </c>
      <c r="G1734" t="n">
        <v>6.1</v>
      </c>
      <c r="H1734" t="n">
        <v>0</v>
      </c>
      <c r="I1734" t="n">
        <v>0</v>
      </c>
      <c r="J1734" t="n">
        <v>0</v>
      </c>
      <c r="K1734" t="n">
        <v>0</v>
      </c>
      <c r="L1734" t="n">
        <v>0</v>
      </c>
      <c r="M1734" t="n">
        <v>0</v>
      </c>
      <c r="N1734" t="n">
        <v>0</v>
      </c>
      <c r="O1734" t="n">
        <v>0</v>
      </c>
      <c r="P1734" t="n">
        <v>0</v>
      </c>
      <c r="Q1734" t="n">
        <v>0</v>
      </c>
      <c r="R1734" s="2" t="inlineStr"/>
    </row>
    <row r="1735" ht="15" customHeight="1">
      <c r="A1735" t="inlineStr">
        <is>
          <t>A 46119-2019</t>
        </is>
      </c>
      <c r="B1735" s="1" t="n">
        <v>43718</v>
      </c>
      <c r="C1735" s="1" t="n">
        <v>45210</v>
      </c>
      <c r="D1735" t="inlineStr">
        <is>
          <t>DALARNAS LÄN</t>
        </is>
      </c>
      <c r="E1735" t="inlineStr">
        <is>
          <t>MORA</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46740-2019</t>
        </is>
      </c>
      <c r="B1736" s="1" t="n">
        <v>43719</v>
      </c>
      <c r="C1736" s="1" t="n">
        <v>45210</v>
      </c>
      <c r="D1736" t="inlineStr">
        <is>
          <t>DALARNAS LÄN</t>
        </is>
      </c>
      <c r="E1736" t="inlineStr">
        <is>
          <t>LEKSAND</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46637-2019</t>
        </is>
      </c>
      <c r="B1737" s="1" t="n">
        <v>43719</v>
      </c>
      <c r="C1737" s="1" t="n">
        <v>45210</v>
      </c>
      <c r="D1737" t="inlineStr">
        <is>
          <t>DALARNAS LÄN</t>
        </is>
      </c>
      <c r="E1737" t="inlineStr">
        <is>
          <t>SÄTER</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46739-2019</t>
        </is>
      </c>
      <c r="B1738" s="1" t="n">
        <v>43719</v>
      </c>
      <c r="C1738" s="1" t="n">
        <v>45210</v>
      </c>
      <c r="D1738" t="inlineStr">
        <is>
          <t>DALARNAS LÄN</t>
        </is>
      </c>
      <c r="E1738" t="inlineStr">
        <is>
          <t>LEKSAND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47067-2019</t>
        </is>
      </c>
      <c r="B1739" s="1" t="n">
        <v>43720</v>
      </c>
      <c r="C1739" s="1" t="n">
        <v>45210</v>
      </c>
      <c r="D1739" t="inlineStr">
        <is>
          <t>DALARNAS LÄN</t>
        </is>
      </c>
      <c r="E1739" t="inlineStr">
        <is>
          <t>MALUNG-SÄLEN</t>
        </is>
      </c>
      <c r="G1739" t="n">
        <v>3.7</v>
      </c>
      <c r="H1739" t="n">
        <v>0</v>
      </c>
      <c r="I1739" t="n">
        <v>0</v>
      </c>
      <c r="J1739" t="n">
        <v>0</v>
      </c>
      <c r="K1739" t="n">
        <v>0</v>
      </c>
      <c r="L1739" t="n">
        <v>0</v>
      </c>
      <c r="M1739" t="n">
        <v>0</v>
      </c>
      <c r="N1739" t="n">
        <v>0</v>
      </c>
      <c r="O1739" t="n">
        <v>0</v>
      </c>
      <c r="P1739" t="n">
        <v>0</v>
      </c>
      <c r="Q1739" t="n">
        <v>0</v>
      </c>
      <c r="R1739" s="2" t="inlineStr"/>
    </row>
    <row r="1740" ht="15" customHeight="1">
      <c r="A1740" t="inlineStr">
        <is>
          <t>A 46795-2019</t>
        </is>
      </c>
      <c r="B1740" s="1" t="n">
        <v>43720</v>
      </c>
      <c r="C1740" s="1" t="n">
        <v>45210</v>
      </c>
      <c r="D1740" t="inlineStr">
        <is>
          <t>DALARNAS LÄN</t>
        </is>
      </c>
      <c r="E1740" t="inlineStr">
        <is>
          <t>HEDEMORA</t>
        </is>
      </c>
      <c r="F1740" t="inlineStr">
        <is>
          <t>Sveaskog</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47005-2019</t>
        </is>
      </c>
      <c r="B1741" s="1" t="n">
        <v>43720</v>
      </c>
      <c r="C1741" s="1" t="n">
        <v>45210</v>
      </c>
      <c r="D1741" t="inlineStr">
        <is>
          <t>DALARNAS LÄN</t>
        </is>
      </c>
      <c r="E1741" t="inlineStr">
        <is>
          <t>FALUN</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47068-2019</t>
        </is>
      </c>
      <c r="B1742" s="1" t="n">
        <v>43720</v>
      </c>
      <c r="C1742" s="1" t="n">
        <v>45210</v>
      </c>
      <c r="D1742" t="inlineStr">
        <is>
          <t>DALARNAS LÄN</t>
        </is>
      </c>
      <c r="E1742" t="inlineStr">
        <is>
          <t>MALUNG-SÄLEN</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46775-2019</t>
        </is>
      </c>
      <c r="B1743" s="1" t="n">
        <v>43720</v>
      </c>
      <c r="C1743" s="1" t="n">
        <v>45210</v>
      </c>
      <c r="D1743" t="inlineStr">
        <is>
          <t>DALARNAS LÄN</t>
        </is>
      </c>
      <c r="E1743" t="inlineStr">
        <is>
          <t>HEDEMORA</t>
        </is>
      </c>
      <c r="F1743" t="inlineStr">
        <is>
          <t>Sveaskog</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46927-2019</t>
        </is>
      </c>
      <c r="B1744" s="1" t="n">
        <v>43720</v>
      </c>
      <c r="C1744" s="1" t="n">
        <v>45210</v>
      </c>
      <c r="D1744" t="inlineStr">
        <is>
          <t>DALARNAS LÄN</t>
        </is>
      </c>
      <c r="E1744" t="inlineStr">
        <is>
          <t>FALUN</t>
        </is>
      </c>
      <c r="G1744" t="n">
        <v>13.7</v>
      </c>
      <c r="H1744" t="n">
        <v>0</v>
      </c>
      <c r="I1744" t="n">
        <v>0</v>
      </c>
      <c r="J1744" t="n">
        <v>0</v>
      </c>
      <c r="K1744" t="n">
        <v>0</v>
      </c>
      <c r="L1744" t="n">
        <v>0</v>
      </c>
      <c r="M1744" t="n">
        <v>0</v>
      </c>
      <c r="N1744" t="n">
        <v>0</v>
      </c>
      <c r="O1744" t="n">
        <v>0</v>
      </c>
      <c r="P1744" t="n">
        <v>0</v>
      </c>
      <c r="Q1744" t="n">
        <v>0</v>
      </c>
      <c r="R1744" s="2" t="inlineStr"/>
    </row>
    <row r="1745" ht="15" customHeight="1">
      <c r="A1745" t="inlineStr">
        <is>
          <t>A 47012-2019</t>
        </is>
      </c>
      <c r="B1745" s="1" t="n">
        <v>43720</v>
      </c>
      <c r="C1745" s="1" t="n">
        <v>45210</v>
      </c>
      <c r="D1745" t="inlineStr">
        <is>
          <t>DALARNAS LÄN</t>
        </is>
      </c>
      <c r="E1745" t="inlineStr">
        <is>
          <t>LUDVIKA</t>
        </is>
      </c>
      <c r="F1745" t="inlineStr">
        <is>
          <t>Kyrkan</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47273-2019</t>
        </is>
      </c>
      <c r="B1746" s="1" t="n">
        <v>43721</v>
      </c>
      <c r="C1746" s="1" t="n">
        <v>45210</v>
      </c>
      <c r="D1746" t="inlineStr">
        <is>
          <t>DALARNAS LÄN</t>
        </is>
      </c>
      <c r="E1746" t="inlineStr">
        <is>
          <t>GAGNEF</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47713-2019</t>
        </is>
      </c>
      <c r="B1747" s="1" t="n">
        <v>43724</v>
      </c>
      <c r="C1747" s="1" t="n">
        <v>45210</v>
      </c>
      <c r="D1747" t="inlineStr">
        <is>
          <t>DALARNAS LÄN</t>
        </is>
      </c>
      <c r="E1747" t="inlineStr">
        <is>
          <t>MORA</t>
        </is>
      </c>
      <c r="G1747" t="n">
        <v>11.4</v>
      </c>
      <c r="H1747" t="n">
        <v>0</v>
      </c>
      <c r="I1747" t="n">
        <v>0</v>
      </c>
      <c r="J1747" t="n">
        <v>0</v>
      </c>
      <c r="K1747" t="n">
        <v>0</v>
      </c>
      <c r="L1747" t="n">
        <v>0</v>
      </c>
      <c r="M1747" t="n">
        <v>0</v>
      </c>
      <c r="N1747" t="n">
        <v>0</v>
      </c>
      <c r="O1747" t="n">
        <v>0</v>
      </c>
      <c r="P1747" t="n">
        <v>0</v>
      </c>
      <c r="Q1747" t="n">
        <v>0</v>
      </c>
      <c r="R1747" s="2" t="inlineStr"/>
    </row>
    <row r="1748" ht="15" customHeight="1">
      <c r="A1748" t="inlineStr">
        <is>
          <t>A 47650-2019</t>
        </is>
      </c>
      <c r="B1748" s="1" t="n">
        <v>43724</v>
      </c>
      <c r="C1748" s="1" t="n">
        <v>45210</v>
      </c>
      <c r="D1748" t="inlineStr">
        <is>
          <t>DALARNAS LÄN</t>
        </is>
      </c>
      <c r="E1748" t="inlineStr">
        <is>
          <t>RÄTTVIK</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49193-2019</t>
        </is>
      </c>
      <c r="B1749" s="1" t="n">
        <v>43724</v>
      </c>
      <c r="C1749" s="1" t="n">
        <v>45210</v>
      </c>
      <c r="D1749" t="inlineStr">
        <is>
          <t>DALARNAS LÄN</t>
        </is>
      </c>
      <c r="E1749" t="inlineStr">
        <is>
          <t>MORA</t>
        </is>
      </c>
      <c r="G1749" t="n">
        <v>4.3</v>
      </c>
      <c r="H1749" t="n">
        <v>0</v>
      </c>
      <c r="I1749" t="n">
        <v>0</v>
      </c>
      <c r="J1749" t="n">
        <v>0</v>
      </c>
      <c r="K1749" t="n">
        <v>0</v>
      </c>
      <c r="L1749" t="n">
        <v>0</v>
      </c>
      <c r="M1749" t="n">
        <v>0</v>
      </c>
      <c r="N1749" t="n">
        <v>0</v>
      </c>
      <c r="O1749" t="n">
        <v>0</v>
      </c>
      <c r="P1749" t="n">
        <v>0</v>
      </c>
      <c r="Q1749" t="n">
        <v>0</v>
      </c>
      <c r="R1749" s="2" t="inlineStr"/>
    </row>
    <row r="1750" ht="15" customHeight="1">
      <c r="A1750" t="inlineStr">
        <is>
          <t>A 47532-2019</t>
        </is>
      </c>
      <c r="B1750" s="1" t="n">
        <v>43724</v>
      </c>
      <c r="C1750" s="1" t="n">
        <v>45210</v>
      </c>
      <c r="D1750" t="inlineStr">
        <is>
          <t>DALARNAS LÄN</t>
        </is>
      </c>
      <c r="E1750" t="inlineStr">
        <is>
          <t>LEKSAND</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47704-2019</t>
        </is>
      </c>
      <c r="B1751" s="1" t="n">
        <v>43724</v>
      </c>
      <c r="C1751" s="1" t="n">
        <v>45210</v>
      </c>
      <c r="D1751" t="inlineStr">
        <is>
          <t>DALARNAS LÄN</t>
        </is>
      </c>
      <c r="E1751" t="inlineStr">
        <is>
          <t>VANSBRO</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47882-2019</t>
        </is>
      </c>
      <c r="B1752" s="1" t="n">
        <v>43725</v>
      </c>
      <c r="C1752" s="1" t="n">
        <v>45210</v>
      </c>
      <c r="D1752" t="inlineStr">
        <is>
          <t>DALARNAS LÄN</t>
        </is>
      </c>
      <c r="E1752" t="inlineStr">
        <is>
          <t>HEDEMORA</t>
        </is>
      </c>
      <c r="F1752" t="inlineStr">
        <is>
          <t>Sveaskog</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48238-2019</t>
        </is>
      </c>
      <c r="B1753" s="1" t="n">
        <v>43726</v>
      </c>
      <c r="C1753" s="1" t="n">
        <v>45210</v>
      </c>
      <c r="D1753" t="inlineStr">
        <is>
          <t>DALARNAS LÄN</t>
        </is>
      </c>
      <c r="E1753" t="inlineStr">
        <is>
          <t>SMEDJEBACKEN</t>
        </is>
      </c>
      <c r="F1753" t="inlineStr">
        <is>
          <t>Bergvik skog väst AB</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48335-2019</t>
        </is>
      </c>
      <c r="B1754" s="1" t="n">
        <v>43726</v>
      </c>
      <c r="C1754" s="1" t="n">
        <v>45210</v>
      </c>
      <c r="D1754" t="inlineStr">
        <is>
          <t>DALARNAS LÄN</t>
        </is>
      </c>
      <c r="E1754" t="inlineStr">
        <is>
          <t>FALUN</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48251-2019</t>
        </is>
      </c>
      <c r="B1755" s="1" t="n">
        <v>43726</v>
      </c>
      <c r="C1755" s="1" t="n">
        <v>45210</v>
      </c>
      <c r="D1755" t="inlineStr">
        <is>
          <t>DALARNAS LÄN</t>
        </is>
      </c>
      <c r="E1755" t="inlineStr">
        <is>
          <t>SMEDJEBACKEN</t>
        </is>
      </c>
      <c r="G1755" t="n">
        <v>5.7</v>
      </c>
      <c r="H1755" t="n">
        <v>0</v>
      </c>
      <c r="I1755" t="n">
        <v>0</v>
      </c>
      <c r="J1755" t="n">
        <v>0</v>
      </c>
      <c r="K1755" t="n">
        <v>0</v>
      </c>
      <c r="L1755" t="n">
        <v>0</v>
      </c>
      <c r="M1755" t="n">
        <v>0</v>
      </c>
      <c r="N1755" t="n">
        <v>0</v>
      </c>
      <c r="O1755" t="n">
        <v>0</v>
      </c>
      <c r="P1755" t="n">
        <v>0</v>
      </c>
      <c r="Q1755" t="n">
        <v>0</v>
      </c>
      <c r="R1755" s="2" t="inlineStr"/>
    </row>
    <row r="1756" ht="15" customHeight="1">
      <c r="A1756" t="inlineStr">
        <is>
          <t>A 48275-2019</t>
        </is>
      </c>
      <c r="B1756" s="1" t="n">
        <v>43726</v>
      </c>
      <c r="C1756" s="1" t="n">
        <v>45210</v>
      </c>
      <c r="D1756" t="inlineStr">
        <is>
          <t>DALARNAS LÄN</t>
        </is>
      </c>
      <c r="E1756" t="inlineStr">
        <is>
          <t>MALUNG-SÄLEN</t>
        </is>
      </c>
      <c r="G1756" t="n">
        <v>5.2</v>
      </c>
      <c r="H1756" t="n">
        <v>0</v>
      </c>
      <c r="I1756" t="n">
        <v>0</v>
      </c>
      <c r="J1756" t="n">
        <v>0</v>
      </c>
      <c r="K1756" t="n">
        <v>0</v>
      </c>
      <c r="L1756" t="n">
        <v>0</v>
      </c>
      <c r="M1756" t="n">
        <v>0</v>
      </c>
      <c r="N1756" t="n">
        <v>0</v>
      </c>
      <c r="O1756" t="n">
        <v>0</v>
      </c>
      <c r="P1756" t="n">
        <v>0</v>
      </c>
      <c r="Q1756" t="n">
        <v>0</v>
      </c>
      <c r="R1756" s="2" t="inlineStr"/>
    </row>
    <row r="1757" ht="15" customHeight="1">
      <c r="A1757" t="inlineStr">
        <is>
          <t>A 48518-2019</t>
        </is>
      </c>
      <c r="B1757" s="1" t="n">
        <v>43726</v>
      </c>
      <c r="C1757" s="1" t="n">
        <v>45210</v>
      </c>
      <c r="D1757" t="inlineStr">
        <is>
          <t>DALARNAS LÄN</t>
        </is>
      </c>
      <c r="E1757" t="inlineStr">
        <is>
          <t>RÄTTVIK</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48301-2019</t>
        </is>
      </c>
      <c r="B1758" s="1" t="n">
        <v>43726</v>
      </c>
      <c r="C1758" s="1" t="n">
        <v>45210</v>
      </c>
      <c r="D1758" t="inlineStr">
        <is>
          <t>DALARNAS LÄN</t>
        </is>
      </c>
      <c r="E1758" t="inlineStr">
        <is>
          <t>VANSBRO</t>
        </is>
      </c>
      <c r="F1758" t="inlineStr">
        <is>
          <t>Bergvik skog väst AB</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48537-2019</t>
        </is>
      </c>
      <c r="B1759" s="1" t="n">
        <v>43727</v>
      </c>
      <c r="C1759" s="1" t="n">
        <v>45210</v>
      </c>
      <c r="D1759" t="inlineStr">
        <is>
          <t>DALARNAS LÄN</t>
        </is>
      </c>
      <c r="E1759" t="inlineStr">
        <is>
          <t>RÄTTVIK</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48548-2019</t>
        </is>
      </c>
      <c r="B1760" s="1" t="n">
        <v>43727</v>
      </c>
      <c r="C1760" s="1" t="n">
        <v>45210</v>
      </c>
      <c r="D1760" t="inlineStr">
        <is>
          <t>DALARNAS LÄN</t>
        </is>
      </c>
      <c r="E1760" t="inlineStr">
        <is>
          <t>RÄTTVIK</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48403-2019</t>
        </is>
      </c>
      <c r="B1761" s="1" t="n">
        <v>43727</v>
      </c>
      <c r="C1761" s="1" t="n">
        <v>45210</v>
      </c>
      <c r="D1761" t="inlineStr">
        <is>
          <t>DALARNAS LÄN</t>
        </is>
      </c>
      <c r="E1761" t="inlineStr">
        <is>
          <t>FALUN</t>
        </is>
      </c>
      <c r="G1761" t="n">
        <v>2.8</v>
      </c>
      <c r="H1761" t="n">
        <v>0</v>
      </c>
      <c r="I1761" t="n">
        <v>0</v>
      </c>
      <c r="J1761" t="n">
        <v>0</v>
      </c>
      <c r="K1761" t="n">
        <v>0</v>
      </c>
      <c r="L1761" t="n">
        <v>0</v>
      </c>
      <c r="M1761" t="n">
        <v>0</v>
      </c>
      <c r="N1761" t="n">
        <v>0</v>
      </c>
      <c r="O1761" t="n">
        <v>0</v>
      </c>
      <c r="P1761" t="n">
        <v>0</v>
      </c>
      <c r="Q1761" t="n">
        <v>0</v>
      </c>
      <c r="R1761" s="2" t="inlineStr"/>
    </row>
    <row r="1762" ht="15" customHeight="1">
      <c r="A1762" t="inlineStr">
        <is>
          <t>A 48460-2019</t>
        </is>
      </c>
      <c r="B1762" s="1" t="n">
        <v>43727</v>
      </c>
      <c r="C1762" s="1" t="n">
        <v>45210</v>
      </c>
      <c r="D1762" t="inlineStr">
        <is>
          <t>DALARNAS LÄN</t>
        </is>
      </c>
      <c r="E1762" t="inlineStr">
        <is>
          <t>MORA</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48541-2019</t>
        </is>
      </c>
      <c r="B1763" s="1" t="n">
        <v>43727</v>
      </c>
      <c r="C1763" s="1" t="n">
        <v>45210</v>
      </c>
      <c r="D1763" t="inlineStr">
        <is>
          <t>DALARNAS LÄN</t>
        </is>
      </c>
      <c r="E1763" t="inlineStr">
        <is>
          <t>RÄTTVIK</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48626-2019</t>
        </is>
      </c>
      <c r="B1764" s="1" t="n">
        <v>43727</v>
      </c>
      <c r="C1764" s="1" t="n">
        <v>45210</v>
      </c>
      <c r="D1764" t="inlineStr">
        <is>
          <t>DALARNAS LÄN</t>
        </is>
      </c>
      <c r="E1764" t="inlineStr">
        <is>
          <t>FALUN</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49132-2019</t>
        </is>
      </c>
      <c r="B1765" s="1" t="n">
        <v>43728</v>
      </c>
      <c r="C1765" s="1" t="n">
        <v>45210</v>
      </c>
      <c r="D1765" t="inlineStr">
        <is>
          <t>DALARNAS LÄN</t>
        </is>
      </c>
      <c r="E1765" t="inlineStr">
        <is>
          <t>LEKSAND</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49300-2019</t>
        </is>
      </c>
      <c r="B1766" s="1" t="n">
        <v>43731</v>
      </c>
      <c r="C1766" s="1" t="n">
        <v>45210</v>
      </c>
      <c r="D1766" t="inlineStr">
        <is>
          <t>DALARNAS LÄN</t>
        </is>
      </c>
      <c r="E1766" t="inlineStr">
        <is>
          <t>HEDEMORA</t>
        </is>
      </c>
      <c r="F1766" t="inlineStr">
        <is>
          <t>Sveaskog</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49345-2019</t>
        </is>
      </c>
      <c r="B1767" s="1" t="n">
        <v>43731</v>
      </c>
      <c r="C1767" s="1" t="n">
        <v>45210</v>
      </c>
      <c r="D1767" t="inlineStr">
        <is>
          <t>DALARNAS LÄN</t>
        </is>
      </c>
      <c r="E1767" t="inlineStr">
        <is>
          <t>SÄTER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49197-2019</t>
        </is>
      </c>
      <c r="B1768" s="1" t="n">
        <v>43731</v>
      </c>
      <c r="C1768" s="1" t="n">
        <v>45210</v>
      </c>
      <c r="D1768" t="inlineStr">
        <is>
          <t>DALARNAS LÄN</t>
        </is>
      </c>
      <c r="E1768" t="inlineStr">
        <is>
          <t>HEDEMORA</t>
        </is>
      </c>
      <c r="F1768" t="inlineStr">
        <is>
          <t>Sveaskog</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49230-2019</t>
        </is>
      </c>
      <c r="B1769" s="1" t="n">
        <v>43731</v>
      </c>
      <c r="C1769" s="1" t="n">
        <v>45210</v>
      </c>
      <c r="D1769" t="inlineStr">
        <is>
          <t>DALARNAS LÄN</t>
        </is>
      </c>
      <c r="E1769" t="inlineStr">
        <is>
          <t>ÄLVDALEN</t>
        </is>
      </c>
      <c r="F1769" t="inlineStr">
        <is>
          <t>Allmännings- och besparingsskogar</t>
        </is>
      </c>
      <c r="G1769" t="n">
        <v>11.9</v>
      </c>
      <c r="H1769" t="n">
        <v>0</v>
      </c>
      <c r="I1769" t="n">
        <v>0</v>
      </c>
      <c r="J1769" t="n">
        <v>0</v>
      </c>
      <c r="K1769" t="n">
        <v>0</v>
      </c>
      <c r="L1769" t="n">
        <v>0</v>
      </c>
      <c r="M1769" t="n">
        <v>0</v>
      </c>
      <c r="N1769" t="n">
        <v>0</v>
      </c>
      <c r="O1769" t="n">
        <v>0</v>
      </c>
      <c r="P1769" t="n">
        <v>0</v>
      </c>
      <c r="Q1769" t="n">
        <v>0</v>
      </c>
      <c r="R1769" s="2" t="inlineStr"/>
    </row>
    <row r="1770" ht="15" customHeight="1">
      <c r="A1770" t="inlineStr">
        <is>
          <t>A 49303-2019</t>
        </is>
      </c>
      <c r="B1770" s="1" t="n">
        <v>43731</v>
      </c>
      <c r="C1770" s="1" t="n">
        <v>45210</v>
      </c>
      <c r="D1770" t="inlineStr">
        <is>
          <t>DALARNAS LÄN</t>
        </is>
      </c>
      <c r="E1770" t="inlineStr">
        <is>
          <t>SMEDJEBACKEN</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49051-2019</t>
        </is>
      </c>
      <c r="B1771" s="1" t="n">
        <v>43731</v>
      </c>
      <c r="C1771" s="1" t="n">
        <v>45210</v>
      </c>
      <c r="D1771" t="inlineStr">
        <is>
          <t>DALARNAS LÄN</t>
        </is>
      </c>
      <c r="E1771" t="inlineStr">
        <is>
          <t>MORA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49122-2019</t>
        </is>
      </c>
      <c r="B1772" s="1" t="n">
        <v>43731</v>
      </c>
      <c r="C1772" s="1" t="n">
        <v>45210</v>
      </c>
      <c r="D1772" t="inlineStr">
        <is>
          <t>DALARNAS LÄN</t>
        </is>
      </c>
      <c r="E1772" t="inlineStr">
        <is>
          <t>SMEDJEBACKEN</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49014-2019</t>
        </is>
      </c>
      <c r="B1773" s="1" t="n">
        <v>43731</v>
      </c>
      <c r="C1773" s="1" t="n">
        <v>45210</v>
      </c>
      <c r="D1773" t="inlineStr">
        <is>
          <t>DALARNAS LÄN</t>
        </is>
      </c>
      <c r="E1773" t="inlineStr">
        <is>
          <t>ÄLVDALEN</t>
        </is>
      </c>
      <c r="F1773" t="inlineStr">
        <is>
          <t>Sveaskog</t>
        </is>
      </c>
      <c r="G1773" t="n">
        <v>5.1</v>
      </c>
      <c r="H1773" t="n">
        <v>0</v>
      </c>
      <c r="I1773" t="n">
        <v>0</v>
      </c>
      <c r="J1773" t="n">
        <v>0</v>
      </c>
      <c r="K1773" t="n">
        <v>0</v>
      </c>
      <c r="L1773" t="n">
        <v>0</v>
      </c>
      <c r="M1773" t="n">
        <v>0</v>
      </c>
      <c r="N1773" t="n">
        <v>0</v>
      </c>
      <c r="O1773" t="n">
        <v>0</v>
      </c>
      <c r="P1773" t="n">
        <v>0</v>
      </c>
      <c r="Q1773" t="n">
        <v>0</v>
      </c>
      <c r="R1773" s="2" t="inlineStr"/>
    </row>
    <row r="1774" ht="15" customHeight="1">
      <c r="A1774" t="inlineStr">
        <is>
          <t>A 49272-2019</t>
        </is>
      </c>
      <c r="B1774" s="1" t="n">
        <v>43731</v>
      </c>
      <c r="C1774" s="1" t="n">
        <v>45210</v>
      </c>
      <c r="D1774" t="inlineStr">
        <is>
          <t>DALARNAS LÄN</t>
        </is>
      </c>
      <c r="E1774" t="inlineStr">
        <is>
          <t>AVESTA</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49620-2019</t>
        </is>
      </c>
      <c r="B1775" s="1" t="n">
        <v>43732</v>
      </c>
      <c r="C1775" s="1" t="n">
        <v>45210</v>
      </c>
      <c r="D1775" t="inlineStr">
        <is>
          <t>DALARNAS LÄN</t>
        </is>
      </c>
      <c r="E1775" t="inlineStr">
        <is>
          <t>AVESTA</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51369-2019</t>
        </is>
      </c>
      <c r="B1776" s="1" t="n">
        <v>43732</v>
      </c>
      <c r="C1776" s="1" t="n">
        <v>45210</v>
      </c>
      <c r="D1776" t="inlineStr">
        <is>
          <t>DALARNAS LÄN</t>
        </is>
      </c>
      <c r="E1776" t="inlineStr">
        <is>
          <t>RÄTTVIK</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51146-2019</t>
        </is>
      </c>
      <c r="B1777" s="1" t="n">
        <v>43732</v>
      </c>
      <c r="C1777" s="1" t="n">
        <v>45210</v>
      </c>
      <c r="D1777" t="inlineStr">
        <is>
          <t>DALARNAS LÄN</t>
        </is>
      </c>
      <c r="E1777" t="inlineStr">
        <is>
          <t>SMEDJEBACKEN</t>
        </is>
      </c>
      <c r="G1777" t="n">
        <v>3.8</v>
      </c>
      <c r="H1777" t="n">
        <v>0</v>
      </c>
      <c r="I1777" t="n">
        <v>0</v>
      </c>
      <c r="J1777" t="n">
        <v>0</v>
      </c>
      <c r="K1777" t="n">
        <v>0</v>
      </c>
      <c r="L1777" t="n">
        <v>0</v>
      </c>
      <c r="M1777" t="n">
        <v>0</v>
      </c>
      <c r="N1777" t="n">
        <v>0</v>
      </c>
      <c r="O1777" t="n">
        <v>0</v>
      </c>
      <c r="P1777" t="n">
        <v>0</v>
      </c>
      <c r="Q1777" t="n">
        <v>0</v>
      </c>
      <c r="R1777" s="2" t="inlineStr"/>
    </row>
    <row r="1778" ht="15" customHeight="1">
      <c r="A1778" t="inlineStr">
        <is>
          <t>A 49699-2019</t>
        </is>
      </c>
      <c r="B1778" s="1" t="n">
        <v>43733</v>
      </c>
      <c r="C1778" s="1" t="n">
        <v>45210</v>
      </c>
      <c r="D1778" t="inlineStr">
        <is>
          <t>DALARNAS LÄN</t>
        </is>
      </c>
      <c r="E1778" t="inlineStr">
        <is>
          <t>LUDVIKA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51390-2019</t>
        </is>
      </c>
      <c r="B1779" s="1" t="n">
        <v>43733</v>
      </c>
      <c r="C1779" s="1" t="n">
        <v>45210</v>
      </c>
      <c r="D1779" t="inlineStr">
        <is>
          <t>DALARNAS LÄN</t>
        </is>
      </c>
      <c r="E1779" t="inlineStr">
        <is>
          <t>LEKSAND</t>
        </is>
      </c>
      <c r="G1779" t="n">
        <v>4.7</v>
      </c>
      <c r="H1779" t="n">
        <v>0</v>
      </c>
      <c r="I1779" t="n">
        <v>0</v>
      </c>
      <c r="J1779" t="n">
        <v>0</v>
      </c>
      <c r="K1779" t="n">
        <v>0</v>
      </c>
      <c r="L1779" t="n">
        <v>0</v>
      </c>
      <c r="M1779" t="n">
        <v>0</v>
      </c>
      <c r="N1779" t="n">
        <v>0</v>
      </c>
      <c r="O1779" t="n">
        <v>0</v>
      </c>
      <c r="P1779" t="n">
        <v>0</v>
      </c>
      <c r="Q1779" t="n">
        <v>0</v>
      </c>
      <c r="R1779" s="2" t="inlineStr"/>
    </row>
    <row r="1780" ht="15" customHeight="1">
      <c r="A1780" t="inlineStr">
        <is>
          <t>A 49817-2019</t>
        </is>
      </c>
      <c r="B1780" s="1" t="n">
        <v>43733</v>
      </c>
      <c r="C1780" s="1" t="n">
        <v>45210</v>
      </c>
      <c r="D1780" t="inlineStr">
        <is>
          <t>DALARNAS LÄN</t>
        </is>
      </c>
      <c r="E1780" t="inlineStr">
        <is>
          <t>MALUNG-SÄLEN</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49736-2019</t>
        </is>
      </c>
      <c r="B1781" s="1" t="n">
        <v>43733</v>
      </c>
      <c r="C1781" s="1" t="n">
        <v>45210</v>
      </c>
      <c r="D1781" t="inlineStr">
        <is>
          <t>DALARNAS LÄN</t>
        </is>
      </c>
      <c r="E1781" t="inlineStr">
        <is>
          <t>MALUNG-SÄLEN</t>
        </is>
      </c>
      <c r="G1781" t="n">
        <v>6.5</v>
      </c>
      <c r="H1781" t="n">
        <v>0</v>
      </c>
      <c r="I1781" t="n">
        <v>0</v>
      </c>
      <c r="J1781" t="n">
        <v>0</v>
      </c>
      <c r="K1781" t="n">
        <v>0</v>
      </c>
      <c r="L1781" t="n">
        <v>0</v>
      </c>
      <c r="M1781" t="n">
        <v>0</v>
      </c>
      <c r="N1781" t="n">
        <v>0</v>
      </c>
      <c r="O1781" t="n">
        <v>0</v>
      </c>
      <c r="P1781" t="n">
        <v>0</v>
      </c>
      <c r="Q1781" t="n">
        <v>0</v>
      </c>
      <c r="R1781" s="2" t="inlineStr"/>
    </row>
    <row r="1782" ht="15" customHeight="1">
      <c r="A1782" t="inlineStr">
        <is>
          <t>A 49765-2019</t>
        </is>
      </c>
      <c r="B1782" s="1" t="n">
        <v>43733</v>
      </c>
      <c r="C1782" s="1" t="n">
        <v>45210</v>
      </c>
      <c r="D1782" t="inlineStr">
        <is>
          <t>DALARNAS LÄN</t>
        </is>
      </c>
      <c r="E1782" t="inlineStr">
        <is>
          <t>MORA</t>
        </is>
      </c>
      <c r="F1782" t="inlineStr">
        <is>
          <t>Bergvik skog väst AB</t>
        </is>
      </c>
      <c r="G1782" t="n">
        <v>9.6</v>
      </c>
      <c r="H1782" t="n">
        <v>0</v>
      </c>
      <c r="I1782" t="n">
        <v>0</v>
      </c>
      <c r="J1782" t="n">
        <v>0</v>
      </c>
      <c r="K1782" t="n">
        <v>0</v>
      </c>
      <c r="L1782" t="n">
        <v>0</v>
      </c>
      <c r="M1782" t="n">
        <v>0</v>
      </c>
      <c r="N1782" t="n">
        <v>0</v>
      </c>
      <c r="O1782" t="n">
        <v>0</v>
      </c>
      <c r="P1782" t="n">
        <v>0</v>
      </c>
      <c r="Q1782" t="n">
        <v>0</v>
      </c>
      <c r="R1782" s="2" t="inlineStr"/>
    </row>
    <row r="1783" ht="15" customHeight="1">
      <c r="A1783" t="inlineStr">
        <is>
          <t>A 50024-2019</t>
        </is>
      </c>
      <c r="B1783" s="1" t="n">
        <v>43734</v>
      </c>
      <c r="C1783" s="1" t="n">
        <v>45210</v>
      </c>
      <c r="D1783" t="inlineStr">
        <is>
          <t>DALARNAS LÄN</t>
        </is>
      </c>
      <c r="E1783" t="inlineStr">
        <is>
          <t>LUDVIKA</t>
        </is>
      </c>
      <c r="F1783" t="inlineStr">
        <is>
          <t>Bergvik skog väst AB</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50160-2019</t>
        </is>
      </c>
      <c r="B1784" s="1" t="n">
        <v>43734</v>
      </c>
      <c r="C1784" s="1" t="n">
        <v>45210</v>
      </c>
      <c r="D1784" t="inlineStr">
        <is>
          <t>DALARNAS LÄN</t>
        </is>
      </c>
      <c r="E1784" t="inlineStr">
        <is>
          <t>MALUNG-SÄLEN</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50213-2019</t>
        </is>
      </c>
      <c r="B1785" s="1" t="n">
        <v>43734</v>
      </c>
      <c r="C1785" s="1" t="n">
        <v>45210</v>
      </c>
      <c r="D1785" t="inlineStr">
        <is>
          <t>DALARNAS LÄN</t>
        </is>
      </c>
      <c r="E1785" t="inlineStr">
        <is>
          <t>RÄTTVIK</t>
        </is>
      </c>
      <c r="F1785" t="inlineStr">
        <is>
          <t>Kyrkan</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50183-2019</t>
        </is>
      </c>
      <c r="B1786" s="1" t="n">
        <v>43734</v>
      </c>
      <c r="C1786" s="1" t="n">
        <v>45210</v>
      </c>
      <c r="D1786" t="inlineStr">
        <is>
          <t>DALARNAS LÄN</t>
        </is>
      </c>
      <c r="E1786" t="inlineStr">
        <is>
          <t>HEDEMORA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50362-2019</t>
        </is>
      </c>
      <c r="B1787" s="1" t="n">
        <v>43734</v>
      </c>
      <c r="C1787" s="1" t="n">
        <v>45210</v>
      </c>
      <c r="D1787" t="inlineStr">
        <is>
          <t>DALARNAS LÄN</t>
        </is>
      </c>
      <c r="E1787" t="inlineStr">
        <is>
          <t>RÄTTVIK</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51773-2019</t>
        </is>
      </c>
      <c r="B1788" s="1" t="n">
        <v>43734</v>
      </c>
      <c r="C1788" s="1" t="n">
        <v>45210</v>
      </c>
      <c r="D1788" t="inlineStr">
        <is>
          <t>DALARNAS LÄN</t>
        </is>
      </c>
      <c r="E1788" t="inlineStr">
        <is>
          <t>RÄTTVIK</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50418-2019</t>
        </is>
      </c>
      <c r="B1789" s="1" t="n">
        <v>43735</v>
      </c>
      <c r="C1789" s="1" t="n">
        <v>45210</v>
      </c>
      <c r="D1789" t="inlineStr">
        <is>
          <t>DALARNAS LÄN</t>
        </is>
      </c>
      <c r="E1789" t="inlineStr">
        <is>
          <t>MALUNG-SÄLEN</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50528-2019</t>
        </is>
      </c>
      <c r="B1790" s="1" t="n">
        <v>43735</v>
      </c>
      <c r="C1790" s="1" t="n">
        <v>45210</v>
      </c>
      <c r="D1790" t="inlineStr">
        <is>
          <t>DALARNAS LÄN</t>
        </is>
      </c>
      <c r="E1790" t="inlineStr">
        <is>
          <t>ORSA</t>
        </is>
      </c>
      <c r="F1790" t="inlineStr">
        <is>
          <t>Kyrkan</t>
        </is>
      </c>
      <c r="G1790" t="n">
        <v>4.2</v>
      </c>
      <c r="H1790" t="n">
        <v>0</v>
      </c>
      <c r="I1790" t="n">
        <v>0</v>
      </c>
      <c r="J1790" t="n">
        <v>0</v>
      </c>
      <c r="K1790" t="n">
        <v>0</v>
      </c>
      <c r="L1790" t="n">
        <v>0</v>
      </c>
      <c r="M1790" t="n">
        <v>0</v>
      </c>
      <c r="N1790" t="n">
        <v>0</v>
      </c>
      <c r="O1790" t="n">
        <v>0</v>
      </c>
      <c r="P1790" t="n">
        <v>0</v>
      </c>
      <c r="Q1790" t="n">
        <v>0</v>
      </c>
      <c r="R1790" s="2" t="inlineStr"/>
    </row>
    <row r="1791" ht="15" customHeight="1">
      <c r="A1791" t="inlineStr">
        <is>
          <t>A 50408-2019</t>
        </is>
      </c>
      <c r="B1791" s="1" t="n">
        <v>43735</v>
      </c>
      <c r="C1791" s="1" t="n">
        <v>45210</v>
      </c>
      <c r="D1791" t="inlineStr">
        <is>
          <t>DALARNAS LÄN</t>
        </is>
      </c>
      <c r="E1791" t="inlineStr">
        <is>
          <t>MALUNG-SÄLEN</t>
        </is>
      </c>
      <c r="G1791" t="n">
        <v>7.3</v>
      </c>
      <c r="H1791" t="n">
        <v>0</v>
      </c>
      <c r="I1791" t="n">
        <v>0</v>
      </c>
      <c r="J1791" t="n">
        <v>0</v>
      </c>
      <c r="K1791" t="n">
        <v>0</v>
      </c>
      <c r="L1791" t="n">
        <v>0</v>
      </c>
      <c r="M1791" t="n">
        <v>0</v>
      </c>
      <c r="N1791" t="n">
        <v>0</v>
      </c>
      <c r="O1791" t="n">
        <v>0</v>
      </c>
      <c r="P1791" t="n">
        <v>0</v>
      </c>
      <c r="Q1791" t="n">
        <v>0</v>
      </c>
      <c r="R1791" s="2" t="inlineStr"/>
    </row>
    <row r="1792" ht="15" customHeight="1">
      <c r="A1792" t="inlineStr">
        <is>
          <t>A 50437-2019</t>
        </is>
      </c>
      <c r="B1792" s="1" t="n">
        <v>43735</v>
      </c>
      <c r="C1792" s="1" t="n">
        <v>45210</v>
      </c>
      <c r="D1792" t="inlineStr">
        <is>
          <t>DALARNAS LÄN</t>
        </is>
      </c>
      <c r="E1792" t="inlineStr">
        <is>
          <t>MALUNG-SÄLEN</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52130-2019</t>
        </is>
      </c>
      <c r="B1793" s="1" t="n">
        <v>43735</v>
      </c>
      <c r="C1793" s="1" t="n">
        <v>45210</v>
      </c>
      <c r="D1793" t="inlineStr">
        <is>
          <t>DALARNAS LÄN</t>
        </is>
      </c>
      <c r="E1793" t="inlineStr">
        <is>
          <t>LEKSAND</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52398-2019</t>
        </is>
      </c>
      <c r="B1794" s="1" t="n">
        <v>43735</v>
      </c>
      <c r="C1794" s="1" t="n">
        <v>45210</v>
      </c>
      <c r="D1794" t="inlineStr">
        <is>
          <t>DALARNAS LÄN</t>
        </is>
      </c>
      <c r="E1794" t="inlineStr">
        <is>
          <t>SÄTER</t>
        </is>
      </c>
      <c r="F1794" t="inlineStr">
        <is>
          <t>Bergvik skog väst AB</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50460-2019</t>
        </is>
      </c>
      <c r="B1795" s="1" t="n">
        <v>43735</v>
      </c>
      <c r="C1795" s="1" t="n">
        <v>45210</v>
      </c>
      <c r="D1795" t="inlineStr">
        <is>
          <t>DALARNAS LÄN</t>
        </is>
      </c>
      <c r="E1795" t="inlineStr">
        <is>
          <t>RÄTTVIK</t>
        </is>
      </c>
      <c r="F1795" t="inlineStr">
        <is>
          <t>Sveaskog</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50479-2019</t>
        </is>
      </c>
      <c r="B1796" s="1" t="n">
        <v>43735</v>
      </c>
      <c r="C1796" s="1" t="n">
        <v>45210</v>
      </c>
      <c r="D1796" t="inlineStr">
        <is>
          <t>DALARNAS LÄN</t>
        </is>
      </c>
      <c r="E1796" t="inlineStr">
        <is>
          <t>MALUNG-SÄLEN</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50532-2019</t>
        </is>
      </c>
      <c r="B1797" s="1" t="n">
        <v>43735</v>
      </c>
      <c r="C1797" s="1" t="n">
        <v>45210</v>
      </c>
      <c r="D1797" t="inlineStr">
        <is>
          <t>DALARNAS LÄN</t>
        </is>
      </c>
      <c r="E1797" t="inlineStr">
        <is>
          <t>LEKSAND</t>
        </is>
      </c>
      <c r="F1797" t="inlineStr">
        <is>
          <t>Kyrkan</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52431-2019</t>
        </is>
      </c>
      <c r="B1798" s="1" t="n">
        <v>43735</v>
      </c>
      <c r="C1798" s="1" t="n">
        <v>45210</v>
      </c>
      <c r="D1798" t="inlineStr">
        <is>
          <t>DALARNAS LÄN</t>
        </is>
      </c>
      <c r="E1798" t="inlineStr">
        <is>
          <t>SÄTER</t>
        </is>
      </c>
      <c r="F1798" t="inlineStr">
        <is>
          <t>Bergvik skog väst AB</t>
        </is>
      </c>
      <c r="G1798" t="n">
        <v>4.6</v>
      </c>
      <c r="H1798" t="n">
        <v>0</v>
      </c>
      <c r="I1798" t="n">
        <v>0</v>
      </c>
      <c r="J1798" t="n">
        <v>0</v>
      </c>
      <c r="K1798" t="n">
        <v>0</v>
      </c>
      <c r="L1798" t="n">
        <v>0</v>
      </c>
      <c r="M1798" t="n">
        <v>0</v>
      </c>
      <c r="N1798" t="n">
        <v>0</v>
      </c>
      <c r="O1798" t="n">
        <v>0</v>
      </c>
      <c r="P1798" t="n">
        <v>0</v>
      </c>
      <c r="Q1798" t="n">
        <v>0</v>
      </c>
      <c r="R1798" s="2" t="inlineStr"/>
    </row>
    <row r="1799" ht="15" customHeight="1">
      <c r="A1799" t="inlineStr">
        <is>
          <t>A 50424-2019</t>
        </is>
      </c>
      <c r="B1799" s="1" t="n">
        <v>43735</v>
      </c>
      <c r="C1799" s="1" t="n">
        <v>45210</v>
      </c>
      <c r="D1799" t="inlineStr">
        <is>
          <t>DALARNAS LÄN</t>
        </is>
      </c>
      <c r="E1799" t="inlineStr">
        <is>
          <t>MALUNG-SÄLEN</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50431-2019</t>
        </is>
      </c>
      <c r="B1800" s="1" t="n">
        <v>43735</v>
      </c>
      <c r="C1800" s="1" t="n">
        <v>45210</v>
      </c>
      <c r="D1800" t="inlineStr">
        <is>
          <t>DALARNAS LÄN</t>
        </is>
      </c>
      <c r="E1800" t="inlineStr">
        <is>
          <t>ÄLVDALEN</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50471-2019</t>
        </is>
      </c>
      <c r="B1801" s="1" t="n">
        <v>43735</v>
      </c>
      <c r="C1801" s="1" t="n">
        <v>45210</v>
      </c>
      <c r="D1801" t="inlineStr">
        <is>
          <t>DALARNAS LÄN</t>
        </is>
      </c>
      <c r="E1801" t="inlineStr">
        <is>
          <t>RÄTTVIK</t>
        </is>
      </c>
      <c r="G1801" t="n">
        <v>9.1</v>
      </c>
      <c r="H1801" t="n">
        <v>0</v>
      </c>
      <c r="I1801" t="n">
        <v>0</v>
      </c>
      <c r="J1801" t="n">
        <v>0</v>
      </c>
      <c r="K1801" t="n">
        <v>0</v>
      </c>
      <c r="L1801" t="n">
        <v>0</v>
      </c>
      <c r="M1801" t="n">
        <v>0</v>
      </c>
      <c r="N1801" t="n">
        <v>0</v>
      </c>
      <c r="O1801" t="n">
        <v>0</v>
      </c>
      <c r="P1801" t="n">
        <v>0</v>
      </c>
      <c r="Q1801" t="n">
        <v>0</v>
      </c>
      <c r="R1801" s="2" t="inlineStr"/>
    </row>
    <row r="1802" ht="15" customHeight="1">
      <c r="A1802" t="inlineStr">
        <is>
          <t>A 52423-2019</t>
        </is>
      </c>
      <c r="B1802" s="1" t="n">
        <v>43735</v>
      </c>
      <c r="C1802" s="1" t="n">
        <v>45210</v>
      </c>
      <c r="D1802" t="inlineStr">
        <is>
          <t>DALARNAS LÄN</t>
        </is>
      </c>
      <c r="E1802" t="inlineStr">
        <is>
          <t>SÄTER</t>
        </is>
      </c>
      <c r="F1802" t="inlineStr">
        <is>
          <t>Bergvik skog väst AB</t>
        </is>
      </c>
      <c r="G1802" t="n">
        <v>9</v>
      </c>
      <c r="H1802" t="n">
        <v>0</v>
      </c>
      <c r="I1802" t="n">
        <v>0</v>
      </c>
      <c r="J1802" t="n">
        <v>0</v>
      </c>
      <c r="K1802" t="n">
        <v>0</v>
      </c>
      <c r="L1802" t="n">
        <v>0</v>
      </c>
      <c r="M1802" t="n">
        <v>0</v>
      </c>
      <c r="N1802" t="n">
        <v>0</v>
      </c>
      <c r="O1802" t="n">
        <v>0</v>
      </c>
      <c r="P1802" t="n">
        <v>0</v>
      </c>
      <c r="Q1802" t="n">
        <v>0</v>
      </c>
      <c r="R1802" s="2" t="inlineStr"/>
    </row>
    <row r="1803" ht="15" customHeight="1">
      <c r="A1803" t="inlineStr">
        <is>
          <t>A 50669-2019</t>
        </is>
      </c>
      <c r="B1803" s="1" t="n">
        <v>43737</v>
      </c>
      <c r="C1803" s="1" t="n">
        <v>45210</v>
      </c>
      <c r="D1803" t="inlineStr">
        <is>
          <t>DALARNAS LÄN</t>
        </is>
      </c>
      <c r="E1803" t="inlineStr">
        <is>
          <t>ÄLVDALEN</t>
        </is>
      </c>
      <c r="G1803" t="n">
        <v>6.1</v>
      </c>
      <c r="H1803" t="n">
        <v>0</v>
      </c>
      <c r="I1803" t="n">
        <v>0</v>
      </c>
      <c r="J1803" t="n">
        <v>0</v>
      </c>
      <c r="K1803" t="n">
        <v>0</v>
      </c>
      <c r="L1803" t="n">
        <v>0</v>
      </c>
      <c r="M1803" t="n">
        <v>0</v>
      </c>
      <c r="N1803" t="n">
        <v>0</v>
      </c>
      <c r="O1803" t="n">
        <v>0</v>
      </c>
      <c r="P1803" t="n">
        <v>0</v>
      </c>
      <c r="Q1803" t="n">
        <v>0</v>
      </c>
      <c r="R1803" s="2" t="inlineStr"/>
    </row>
    <row r="1804" ht="15" customHeight="1">
      <c r="A1804" t="inlineStr">
        <is>
          <t>A 50670-2019</t>
        </is>
      </c>
      <c r="B1804" s="1" t="n">
        <v>43738</v>
      </c>
      <c r="C1804" s="1" t="n">
        <v>45210</v>
      </c>
      <c r="D1804" t="inlineStr">
        <is>
          <t>DALARNAS LÄN</t>
        </is>
      </c>
      <c r="E1804" t="inlineStr">
        <is>
          <t>ÄLVDALEN</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50934-2019</t>
        </is>
      </c>
      <c r="B1805" s="1" t="n">
        <v>43738</v>
      </c>
      <c r="C1805" s="1" t="n">
        <v>45210</v>
      </c>
      <c r="D1805" t="inlineStr">
        <is>
          <t>DALARNAS LÄN</t>
        </is>
      </c>
      <c r="E1805" t="inlineStr">
        <is>
          <t>ORSA</t>
        </is>
      </c>
      <c r="F1805" t="inlineStr">
        <is>
          <t>Allmännings- och besparingsskogar</t>
        </is>
      </c>
      <c r="G1805" t="n">
        <v>11.4</v>
      </c>
      <c r="H1805" t="n">
        <v>0</v>
      </c>
      <c r="I1805" t="n">
        <v>0</v>
      </c>
      <c r="J1805" t="n">
        <v>0</v>
      </c>
      <c r="K1805" t="n">
        <v>0</v>
      </c>
      <c r="L1805" t="n">
        <v>0</v>
      </c>
      <c r="M1805" t="n">
        <v>0</v>
      </c>
      <c r="N1805" t="n">
        <v>0</v>
      </c>
      <c r="O1805" t="n">
        <v>0</v>
      </c>
      <c r="P1805" t="n">
        <v>0</v>
      </c>
      <c r="Q1805" t="n">
        <v>0</v>
      </c>
      <c r="R1805" s="2" t="inlineStr"/>
    </row>
    <row r="1806" ht="15" customHeight="1">
      <c r="A1806" t="inlineStr">
        <is>
          <t>A 52719-2019</t>
        </is>
      </c>
      <c r="B1806" s="1" t="n">
        <v>43739</v>
      </c>
      <c r="C1806" s="1" t="n">
        <v>45210</v>
      </c>
      <c r="D1806" t="inlineStr">
        <is>
          <t>DALARNAS LÄN</t>
        </is>
      </c>
      <c r="E1806" t="inlineStr">
        <is>
          <t>MALUNG-SÄLEN</t>
        </is>
      </c>
      <c r="G1806" t="n">
        <v>9</v>
      </c>
      <c r="H1806" t="n">
        <v>0</v>
      </c>
      <c r="I1806" t="n">
        <v>0</v>
      </c>
      <c r="J1806" t="n">
        <v>0</v>
      </c>
      <c r="K1806" t="n">
        <v>0</v>
      </c>
      <c r="L1806" t="n">
        <v>0</v>
      </c>
      <c r="M1806" t="n">
        <v>0</v>
      </c>
      <c r="N1806" t="n">
        <v>0</v>
      </c>
      <c r="O1806" t="n">
        <v>0</v>
      </c>
      <c r="P1806" t="n">
        <v>0</v>
      </c>
      <c r="Q1806" t="n">
        <v>0</v>
      </c>
      <c r="R1806" s="2" t="inlineStr"/>
    </row>
    <row r="1807" ht="15" customHeight="1">
      <c r="A1807" t="inlineStr">
        <is>
          <t>A 52706-2019</t>
        </is>
      </c>
      <c r="B1807" s="1" t="n">
        <v>43739</v>
      </c>
      <c r="C1807" s="1" t="n">
        <v>45210</v>
      </c>
      <c r="D1807" t="inlineStr">
        <is>
          <t>DALARNAS LÄN</t>
        </is>
      </c>
      <c r="E1807" t="inlineStr">
        <is>
          <t>MALUNG-SÄLEN</t>
        </is>
      </c>
      <c r="G1807" t="n">
        <v>21</v>
      </c>
      <c r="H1807" t="n">
        <v>0</v>
      </c>
      <c r="I1807" t="n">
        <v>0</v>
      </c>
      <c r="J1807" t="n">
        <v>0</v>
      </c>
      <c r="K1807" t="n">
        <v>0</v>
      </c>
      <c r="L1807" t="n">
        <v>0</v>
      </c>
      <c r="M1807" t="n">
        <v>0</v>
      </c>
      <c r="N1807" t="n">
        <v>0</v>
      </c>
      <c r="O1807" t="n">
        <v>0</v>
      </c>
      <c r="P1807" t="n">
        <v>0</v>
      </c>
      <c r="Q1807" t="n">
        <v>0</v>
      </c>
      <c r="R1807" s="2" t="inlineStr"/>
    </row>
    <row r="1808" ht="15" customHeight="1">
      <c r="A1808" t="inlineStr">
        <is>
          <t>A 51019-2019</t>
        </is>
      </c>
      <c r="B1808" s="1" t="n">
        <v>43739</v>
      </c>
      <c r="C1808" s="1" t="n">
        <v>45210</v>
      </c>
      <c r="D1808" t="inlineStr">
        <is>
          <t>DALARNAS LÄN</t>
        </is>
      </c>
      <c r="E1808" t="inlineStr">
        <is>
          <t>BORLÄNGE</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52834-2019</t>
        </is>
      </c>
      <c r="B1809" s="1" t="n">
        <v>43739</v>
      </c>
      <c r="C1809" s="1" t="n">
        <v>45210</v>
      </c>
      <c r="D1809" t="inlineStr">
        <is>
          <t>DALARNAS LÄN</t>
        </is>
      </c>
      <c r="E1809" t="inlineStr">
        <is>
          <t>SMEDJEBACKEN</t>
        </is>
      </c>
      <c r="F1809" t="inlineStr">
        <is>
          <t>Bergvik skog väst AB</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51354-2019</t>
        </is>
      </c>
      <c r="B1810" s="1" t="n">
        <v>43740</v>
      </c>
      <c r="C1810" s="1" t="n">
        <v>45210</v>
      </c>
      <c r="D1810" t="inlineStr">
        <is>
          <t>DALARNAS LÄN</t>
        </is>
      </c>
      <c r="E1810" t="inlineStr">
        <is>
          <t>ÄLVDALEN</t>
        </is>
      </c>
      <c r="F1810" t="inlineStr">
        <is>
          <t>Bergvik skog väst AB</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51526-2019</t>
        </is>
      </c>
      <c r="B1811" s="1" t="n">
        <v>43740</v>
      </c>
      <c r="C1811" s="1" t="n">
        <v>45210</v>
      </c>
      <c r="D1811" t="inlineStr">
        <is>
          <t>DALARNAS LÄN</t>
        </is>
      </c>
      <c r="E1811" t="inlineStr">
        <is>
          <t>RÄTTVIK</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52865-2019</t>
        </is>
      </c>
      <c r="B1812" s="1" t="n">
        <v>43740</v>
      </c>
      <c r="C1812" s="1" t="n">
        <v>45210</v>
      </c>
      <c r="D1812" t="inlineStr">
        <is>
          <t>DALARNAS LÄN</t>
        </is>
      </c>
      <c r="E1812" t="inlineStr">
        <is>
          <t>RÄTTVIK</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51536-2019</t>
        </is>
      </c>
      <c r="B1813" s="1" t="n">
        <v>43740</v>
      </c>
      <c r="C1813" s="1" t="n">
        <v>45210</v>
      </c>
      <c r="D1813" t="inlineStr">
        <is>
          <t>DALARNAS LÄN</t>
        </is>
      </c>
      <c r="E1813" t="inlineStr">
        <is>
          <t>RÄTTVIK</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51589-2019</t>
        </is>
      </c>
      <c r="B1814" s="1" t="n">
        <v>43740</v>
      </c>
      <c r="C1814" s="1" t="n">
        <v>45210</v>
      </c>
      <c r="D1814" t="inlineStr">
        <is>
          <t>DALARNAS LÄN</t>
        </is>
      </c>
      <c r="E1814" t="inlineStr">
        <is>
          <t>SÄTER</t>
        </is>
      </c>
      <c r="F1814" t="inlineStr">
        <is>
          <t>Bergvik skog väst AB</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53060-2019</t>
        </is>
      </c>
      <c r="B1815" s="1" t="n">
        <v>43740</v>
      </c>
      <c r="C1815" s="1" t="n">
        <v>45210</v>
      </c>
      <c r="D1815" t="inlineStr">
        <is>
          <t>DALARNAS LÄN</t>
        </is>
      </c>
      <c r="E1815" t="inlineStr">
        <is>
          <t>RÄTTVIK</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51727-2019</t>
        </is>
      </c>
      <c r="B1816" s="1" t="n">
        <v>43741</v>
      </c>
      <c r="C1816" s="1" t="n">
        <v>45210</v>
      </c>
      <c r="D1816" t="inlineStr">
        <is>
          <t>DALARNAS LÄN</t>
        </is>
      </c>
      <c r="E1816" t="inlineStr">
        <is>
          <t>VANSBRO</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51794-2019</t>
        </is>
      </c>
      <c r="B1817" s="1" t="n">
        <v>43741</v>
      </c>
      <c r="C1817" s="1" t="n">
        <v>45210</v>
      </c>
      <c r="D1817" t="inlineStr">
        <is>
          <t>DALARNAS LÄN</t>
        </is>
      </c>
      <c r="E1817" t="inlineStr">
        <is>
          <t>VANSBRO</t>
        </is>
      </c>
      <c r="G1817" t="n">
        <v>23.2</v>
      </c>
      <c r="H1817" t="n">
        <v>0</v>
      </c>
      <c r="I1817" t="n">
        <v>0</v>
      </c>
      <c r="J1817" t="n">
        <v>0</v>
      </c>
      <c r="K1817" t="n">
        <v>0</v>
      </c>
      <c r="L1817" t="n">
        <v>0</v>
      </c>
      <c r="M1817" t="n">
        <v>0</v>
      </c>
      <c r="N1817" t="n">
        <v>0</v>
      </c>
      <c r="O1817" t="n">
        <v>0</v>
      </c>
      <c r="P1817" t="n">
        <v>0</v>
      </c>
      <c r="Q1817" t="n">
        <v>0</v>
      </c>
      <c r="R1817" s="2" t="inlineStr"/>
    </row>
    <row r="1818" ht="15" customHeight="1">
      <c r="A1818" t="inlineStr">
        <is>
          <t>A 51877-2019</t>
        </is>
      </c>
      <c r="B1818" s="1" t="n">
        <v>43741</v>
      </c>
      <c r="C1818" s="1" t="n">
        <v>45210</v>
      </c>
      <c r="D1818" t="inlineStr">
        <is>
          <t>DALARNAS LÄN</t>
        </is>
      </c>
      <c r="E1818" t="inlineStr">
        <is>
          <t>HEDEMORA</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51740-2019</t>
        </is>
      </c>
      <c r="B1819" s="1" t="n">
        <v>43741</v>
      </c>
      <c r="C1819" s="1" t="n">
        <v>45210</v>
      </c>
      <c r="D1819" t="inlineStr">
        <is>
          <t>DALARNAS LÄN</t>
        </is>
      </c>
      <c r="E1819" t="inlineStr">
        <is>
          <t>SÄTER</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51872-2019</t>
        </is>
      </c>
      <c r="B1820" s="1" t="n">
        <v>43741</v>
      </c>
      <c r="C1820" s="1" t="n">
        <v>45210</v>
      </c>
      <c r="D1820" t="inlineStr">
        <is>
          <t>DALARNAS LÄN</t>
        </is>
      </c>
      <c r="E1820" t="inlineStr">
        <is>
          <t>GAGNEF</t>
        </is>
      </c>
      <c r="F1820" t="inlineStr">
        <is>
          <t>Bergvik skog väst AB</t>
        </is>
      </c>
      <c r="G1820" t="n">
        <v>4.6</v>
      </c>
      <c r="H1820" t="n">
        <v>0</v>
      </c>
      <c r="I1820" t="n">
        <v>0</v>
      </c>
      <c r="J1820" t="n">
        <v>0</v>
      </c>
      <c r="K1820" t="n">
        <v>0</v>
      </c>
      <c r="L1820" t="n">
        <v>0</v>
      </c>
      <c r="M1820" t="n">
        <v>0</v>
      </c>
      <c r="N1820" t="n">
        <v>0</v>
      </c>
      <c r="O1820" t="n">
        <v>0</v>
      </c>
      <c r="P1820" t="n">
        <v>0</v>
      </c>
      <c r="Q1820" t="n">
        <v>0</v>
      </c>
      <c r="R1820" s="2" t="inlineStr"/>
    </row>
    <row r="1821" ht="15" customHeight="1">
      <c r="A1821" t="inlineStr">
        <is>
          <t>A 51798-2019</t>
        </is>
      </c>
      <c r="B1821" s="1" t="n">
        <v>43741</v>
      </c>
      <c r="C1821" s="1" t="n">
        <v>45210</v>
      </c>
      <c r="D1821" t="inlineStr">
        <is>
          <t>DALARNAS LÄN</t>
        </is>
      </c>
      <c r="E1821" t="inlineStr">
        <is>
          <t>ÄLVDALEN</t>
        </is>
      </c>
      <c r="F1821" t="inlineStr">
        <is>
          <t>Sveaskog</t>
        </is>
      </c>
      <c r="G1821" t="n">
        <v>0.2</v>
      </c>
      <c r="H1821" t="n">
        <v>0</v>
      </c>
      <c r="I1821" t="n">
        <v>0</v>
      </c>
      <c r="J1821" t="n">
        <v>0</v>
      </c>
      <c r="K1821" t="n">
        <v>0</v>
      </c>
      <c r="L1821" t="n">
        <v>0</v>
      </c>
      <c r="M1821" t="n">
        <v>0</v>
      </c>
      <c r="N1821" t="n">
        <v>0</v>
      </c>
      <c r="O1821" t="n">
        <v>0</v>
      </c>
      <c r="P1821" t="n">
        <v>0</v>
      </c>
      <c r="Q1821" t="n">
        <v>0</v>
      </c>
      <c r="R1821" s="2" t="inlineStr"/>
    </row>
    <row r="1822" ht="15" customHeight="1">
      <c r="A1822" t="inlineStr">
        <is>
          <t>A 52107-2019</t>
        </is>
      </c>
      <c r="B1822" s="1" t="n">
        <v>43742</v>
      </c>
      <c r="C1822" s="1" t="n">
        <v>45210</v>
      </c>
      <c r="D1822" t="inlineStr">
        <is>
          <t>DALARNAS LÄN</t>
        </is>
      </c>
      <c r="E1822" t="inlineStr">
        <is>
          <t>FALUN</t>
        </is>
      </c>
      <c r="F1822" t="inlineStr">
        <is>
          <t>Bergvik skog väst AB</t>
        </is>
      </c>
      <c r="G1822" t="n">
        <v>7.4</v>
      </c>
      <c r="H1822" t="n">
        <v>0</v>
      </c>
      <c r="I1822" t="n">
        <v>0</v>
      </c>
      <c r="J1822" t="n">
        <v>0</v>
      </c>
      <c r="K1822" t="n">
        <v>0</v>
      </c>
      <c r="L1822" t="n">
        <v>0</v>
      </c>
      <c r="M1822" t="n">
        <v>0</v>
      </c>
      <c r="N1822" t="n">
        <v>0</v>
      </c>
      <c r="O1822" t="n">
        <v>0</v>
      </c>
      <c r="P1822" t="n">
        <v>0</v>
      </c>
      <c r="Q1822" t="n">
        <v>0</v>
      </c>
      <c r="R1822" s="2" t="inlineStr"/>
    </row>
    <row r="1823" ht="15" customHeight="1">
      <c r="A1823" t="inlineStr">
        <is>
          <t>A 51962-2019</t>
        </is>
      </c>
      <c r="B1823" s="1" t="n">
        <v>43742</v>
      </c>
      <c r="C1823" s="1" t="n">
        <v>45210</v>
      </c>
      <c r="D1823" t="inlineStr">
        <is>
          <t>DALARNAS LÄN</t>
        </is>
      </c>
      <c r="E1823" t="inlineStr">
        <is>
          <t>FALUN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52192-2019</t>
        </is>
      </c>
      <c r="B1824" s="1" t="n">
        <v>43742</v>
      </c>
      <c r="C1824" s="1" t="n">
        <v>45210</v>
      </c>
      <c r="D1824" t="inlineStr">
        <is>
          <t>DALARNAS LÄN</t>
        </is>
      </c>
      <c r="E1824" t="inlineStr">
        <is>
          <t>FALUN</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52221-2019</t>
        </is>
      </c>
      <c r="B1825" s="1" t="n">
        <v>43742</v>
      </c>
      <c r="C1825" s="1" t="n">
        <v>45210</v>
      </c>
      <c r="D1825" t="inlineStr">
        <is>
          <t>DALARNAS LÄN</t>
        </is>
      </c>
      <c r="E1825" t="inlineStr">
        <is>
          <t>RÄTTVIK</t>
        </is>
      </c>
      <c r="F1825" t="inlineStr">
        <is>
          <t>Bergvik skog väst AB</t>
        </is>
      </c>
      <c r="G1825" t="n">
        <v>21.2</v>
      </c>
      <c r="H1825" t="n">
        <v>0</v>
      </c>
      <c r="I1825" t="n">
        <v>0</v>
      </c>
      <c r="J1825" t="n">
        <v>0</v>
      </c>
      <c r="K1825" t="n">
        <v>0</v>
      </c>
      <c r="L1825" t="n">
        <v>0</v>
      </c>
      <c r="M1825" t="n">
        <v>0</v>
      </c>
      <c r="N1825" t="n">
        <v>0</v>
      </c>
      <c r="O1825" t="n">
        <v>0</v>
      </c>
      <c r="P1825" t="n">
        <v>0</v>
      </c>
      <c r="Q1825" t="n">
        <v>0</v>
      </c>
      <c r="R1825" s="2" t="inlineStr"/>
    </row>
    <row r="1826" ht="15" customHeight="1">
      <c r="A1826" t="inlineStr">
        <is>
          <t>A 53998-2019</t>
        </is>
      </c>
      <c r="B1826" s="1" t="n">
        <v>43742</v>
      </c>
      <c r="C1826" s="1" t="n">
        <v>45210</v>
      </c>
      <c r="D1826" t="inlineStr">
        <is>
          <t>DALARNAS LÄN</t>
        </is>
      </c>
      <c r="E1826" t="inlineStr">
        <is>
          <t>RÄTTVIK</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52131-2019</t>
        </is>
      </c>
      <c r="B1827" s="1" t="n">
        <v>43742</v>
      </c>
      <c r="C1827" s="1" t="n">
        <v>45210</v>
      </c>
      <c r="D1827" t="inlineStr">
        <is>
          <t>DALARNAS LÄN</t>
        </is>
      </c>
      <c r="E1827" t="inlineStr">
        <is>
          <t>ÄLVDALEN</t>
        </is>
      </c>
      <c r="F1827" t="inlineStr">
        <is>
          <t>Sveaskog</t>
        </is>
      </c>
      <c r="G1827" t="n">
        <v>14.5</v>
      </c>
      <c r="H1827" t="n">
        <v>0</v>
      </c>
      <c r="I1827" t="n">
        <v>0</v>
      </c>
      <c r="J1827" t="n">
        <v>0</v>
      </c>
      <c r="K1827" t="n">
        <v>0</v>
      </c>
      <c r="L1827" t="n">
        <v>0</v>
      </c>
      <c r="M1827" t="n">
        <v>0</v>
      </c>
      <c r="N1827" t="n">
        <v>0</v>
      </c>
      <c r="O1827" t="n">
        <v>0</v>
      </c>
      <c r="P1827" t="n">
        <v>0</v>
      </c>
      <c r="Q1827" t="n">
        <v>0</v>
      </c>
      <c r="R1827" s="2" t="inlineStr"/>
    </row>
    <row r="1828" ht="15" customHeight="1">
      <c r="A1828" t="inlineStr">
        <is>
          <t>A 52163-2019</t>
        </is>
      </c>
      <c r="B1828" s="1" t="n">
        <v>43742</v>
      </c>
      <c r="C1828" s="1" t="n">
        <v>45210</v>
      </c>
      <c r="D1828" t="inlineStr">
        <is>
          <t>DALARNAS LÄN</t>
        </is>
      </c>
      <c r="E1828" t="inlineStr">
        <is>
          <t>GAGNEF</t>
        </is>
      </c>
      <c r="G1828" t="n">
        <v>5.2</v>
      </c>
      <c r="H1828" t="n">
        <v>0</v>
      </c>
      <c r="I1828" t="n">
        <v>0</v>
      </c>
      <c r="J1828" t="n">
        <v>0</v>
      </c>
      <c r="K1828" t="n">
        <v>0</v>
      </c>
      <c r="L1828" t="n">
        <v>0</v>
      </c>
      <c r="M1828" t="n">
        <v>0</v>
      </c>
      <c r="N1828" t="n">
        <v>0</v>
      </c>
      <c r="O1828" t="n">
        <v>0</v>
      </c>
      <c r="P1828" t="n">
        <v>0</v>
      </c>
      <c r="Q1828" t="n">
        <v>0</v>
      </c>
      <c r="R1828" s="2" t="inlineStr"/>
    </row>
    <row r="1829" ht="15" customHeight="1">
      <c r="A1829" t="inlineStr">
        <is>
          <t>A 54239-2019</t>
        </is>
      </c>
      <c r="B1829" s="1" t="n">
        <v>43745</v>
      </c>
      <c r="C1829" s="1" t="n">
        <v>45210</v>
      </c>
      <c r="D1829" t="inlineStr">
        <is>
          <t>DALARNAS LÄN</t>
        </is>
      </c>
      <c r="E1829" t="inlineStr">
        <is>
          <t>SMEDJEBACKEN</t>
        </is>
      </c>
      <c r="F1829" t="inlineStr">
        <is>
          <t>Bergvik skog väst AB</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54273-2019</t>
        </is>
      </c>
      <c r="B1830" s="1" t="n">
        <v>43745</v>
      </c>
      <c r="C1830" s="1" t="n">
        <v>45210</v>
      </c>
      <c r="D1830" t="inlineStr">
        <is>
          <t>DALARNAS LÄN</t>
        </is>
      </c>
      <c r="E1830" t="inlineStr">
        <is>
          <t>SMEDJEBACKEN</t>
        </is>
      </c>
      <c r="F1830" t="inlineStr">
        <is>
          <t>Bergvik skog väst AB</t>
        </is>
      </c>
      <c r="G1830" t="n">
        <v>7.2</v>
      </c>
      <c r="H1830" t="n">
        <v>0</v>
      </c>
      <c r="I1830" t="n">
        <v>0</v>
      </c>
      <c r="J1830" t="n">
        <v>0</v>
      </c>
      <c r="K1830" t="n">
        <v>0</v>
      </c>
      <c r="L1830" t="n">
        <v>0</v>
      </c>
      <c r="M1830" t="n">
        <v>0</v>
      </c>
      <c r="N1830" t="n">
        <v>0</v>
      </c>
      <c r="O1830" t="n">
        <v>0</v>
      </c>
      <c r="P1830" t="n">
        <v>0</v>
      </c>
      <c r="Q1830" t="n">
        <v>0</v>
      </c>
      <c r="R1830" s="2" t="inlineStr"/>
    </row>
    <row r="1831" ht="15" customHeight="1">
      <c r="A1831" t="inlineStr">
        <is>
          <t>A 52298-2019</t>
        </is>
      </c>
      <c r="B1831" s="1" t="n">
        <v>43745</v>
      </c>
      <c r="C1831" s="1" t="n">
        <v>45210</v>
      </c>
      <c r="D1831" t="inlineStr">
        <is>
          <t>DALARNAS LÄN</t>
        </is>
      </c>
      <c r="E1831" t="inlineStr">
        <is>
          <t>GAGNEF</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52444-2019</t>
        </is>
      </c>
      <c r="B1832" s="1" t="n">
        <v>43745</v>
      </c>
      <c r="C1832" s="1" t="n">
        <v>45210</v>
      </c>
      <c r="D1832" t="inlineStr">
        <is>
          <t>DALARNAS LÄN</t>
        </is>
      </c>
      <c r="E1832" t="inlineStr">
        <is>
          <t>SÄTER</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52466-2019</t>
        </is>
      </c>
      <c r="B1833" s="1" t="n">
        <v>43745</v>
      </c>
      <c r="C1833" s="1" t="n">
        <v>45210</v>
      </c>
      <c r="D1833" t="inlineStr">
        <is>
          <t>DALARNAS LÄN</t>
        </is>
      </c>
      <c r="E1833" t="inlineStr">
        <is>
          <t>ÄLVDALEN</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54250-2019</t>
        </is>
      </c>
      <c r="B1834" s="1" t="n">
        <v>43745</v>
      </c>
      <c r="C1834" s="1" t="n">
        <v>45210</v>
      </c>
      <c r="D1834" t="inlineStr">
        <is>
          <t>DALARNAS LÄN</t>
        </is>
      </c>
      <c r="E1834" t="inlineStr">
        <is>
          <t>SMEDJEBACKEN</t>
        </is>
      </c>
      <c r="F1834" t="inlineStr">
        <is>
          <t>Bergvik skog väst AB</t>
        </is>
      </c>
      <c r="G1834" t="n">
        <v>2.3</v>
      </c>
      <c r="H1834" t="n">
        <v>0</v>
      </c>
      <c r="I1834" t="n">
        <v>0</v>
      </c>
      <c r="J1834" t="n">
        <v>0</v>
      </c>
      <c r="K1834" t="n">
        <v>0</v>
      </c>
      <c r="L1834" t="n">
        <v>0</v>
      </c>
      <c r="M1834" t="n">
        <v>0</v>
      </c>
      <c r="N1834" t="n">
        <v>0</v>
      </c>
      <c r="O1834" t="n">
        <v>0</v>
      </c>
      <c r="P1834" t="n">
        <v>0</v>
      </c>
      <c r="Q1834" t="n">
        <v>0</v>
      </c>
      <c r="R1834" s="2" t="inlineStr"/>
    </row>
    <row r="1835" ht="15" customHeight="1">
      <c r="A1835" t="inlineStr">
        <is>
          <t>A 52746-2019</t>
        </is>
      </c>
      <c r="B1835" s="1" t="n">
        <v>43746</v>
      </c>
      <c r="C1835" s="1" t="n">
        <v>45210</v>
      </c>
      <c r="D1835" t="inlineStr">
        <is>
          <t>DALARNAS LÄN</t>
        </is>
      </c>
      <c r="E1835" t="inlineStr">
        <is>
          <t>GAGNEF</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52827-2019</t>
        </is>
      </c>
      <c r="B1836" s="1" t="n">
        <v>43746</v>
      </c>
      <c r="C1836" s="1" t="n">
        <v>45210</v>
      </c>
      <c r="D1836" t="inlineStr">
        <is>
          <t>DALARNAS LÄN</t>
        </is>
      </c>
      <c r="E1836" t="inlineStr">
        <is>
          <t>LEKSAND</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52776-2019</t>
        </is>
      </c>
      <c r="B1837" s="1" t="n">
        <v>43746</v>
      </c>
      <c r="C1837" s="1" t="n">
        <v>45210</v>
      </c>
      <c r="D1837" t="inlineStr">
        <is>
          <t>DALARNAS LÄN</t>
        </is>
      </c>
      <c r="E1837" t="inlineStr">
        <is>
          <t>VANSBRO</t>
        </is>
      </c>
      <c r="F1837" t="inlineStr">
        <is>
          <t>Bergvik skog väst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53099-2019</t>
        </is>
      </c>
      <c r="B1838" s="1" t="n">
        <v>43747</v>
      </c>
      <c r="C1838" s="1" t="n">
        <v>45210</v>
      </c>
      <c r="D1838" t="inlineStr">
        <is>
          <t>DALARNAS LÄN</t>
        </is>
      </c>
      <c r="E1838" t="inlineStr">
        <is>
          <t>RÄTTVIK</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52957-2019</t>
        </is>
      </c>
      <c r="B1839" s="1" t="n">
        <v>43747</v>
      </c>
      <c r="C1839" s="1" t="n">
        <v>45210</v>
      </c>
      <c r="D1839" t="inlineStr">
        <is>
          <t>DALARNAS LÄN</t>
        </is>
      </c>
      <c r="E1839" t="inlineStr">
        <is>
          <t>LEKSAND</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53038-2019</t>
        </is>
      </c>
      <c r="B1840" s="1" t="n">
        <v>43747</v>
      </c>
      <c r="C1840" s="1" t="n">
        <v>45210</v>
      </c>
      <c r="D1840" t="inlineStr">
        <is>
          <t>DALARNAS LÄN</t>
        </is>
      </c>
      <c r="E1840" t="inlineStr">
        <is>
          <t>LUDVIKA</t>
        </is>
      </c>
      <c r="G1840" t="n">
        <v>10.6</v>
      </c>
      <c r="H1840" t="n">
        <v>0</v>
      </c>
      <c r="I1840" t="n">
        <v>0</v>
      </c>
      <c r="J1840" t="n">
        <v>0</v>
      </c>
      <c r="K1840" t="n">
        <v>0</v>
      </c>
      <c r="L1840" t="n">
        <v>0</v>
      </c>
      <c r="M1840" t="n">
        <v>0</v>
      </c>
      <c r="N1840" t="n">
        <v>0</v>
      </c>
      <c r="O1840" t="n">
        <v>0</v>
      </c>
      <c r="P1840" t="n">
        <v>0</v>
      </c>
      <c r="Q1840" t="n">
        <v>0</v>
      </c>
      <c r="R1840" s="2" t="inlineStr"/>
    </row>
    <row r="1841" ht="15" customHeight="1">
      <c r="A1841" t="inlineStr">
        <is>
          <t>A 53100-2019</t>
        </is>
      </c>
      <c r="B1841" s="1" t="n">
        <v>43747</v>
      </c>
      <c r="C1841" s="1" t="n">
        <v>45210</v>
      </c>
      <c r="D1841" t="inlineStr">
        <is>
          <t>DALARNAS LÄN</t>
        </is>
      </c>
      <c r="E1841" t="inlineStr">
        <is>
          <t>MALUNG-SÄLEN</t>
        </is>
      </c>
      <c r="F1841" t="inlineStr">
        <is>
          <t>Bergvik skog väst AB</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53323-2019</t>
        </is>
      </c>
      <c r="B1842" s="1" t="n">
        <v>43748</v>
      </c>
      <c r="C1842" s="1" t="n">
        <v>45210</v>
      </c>
      <c r="D1842" t="inlineStr">
        <is>
          <t>DALARNAS LÄN</t>
        </is>
      </c>
      <c r="E1842" t="inlineStr">
        <is>
          <t>HEDEMORA</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53459-2019</t>
        </is>
      </c>
      <c r="B1843" s="1" t="n">
        <v>43748</v>
      </c>
      <c r="C1843" s="1" t="n">
        <v>45210</v>
      </c>
      <c r="D1843" t="inlineStr">
        <is>
          <t>DALARNAS LÄN</t>
        </is>
      </c>
      <c r="E1843" t="inlineStr">
        <is>
          <t>AVESTA</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53247-2019</t>
        </is>
      </c>
      <c r="B1844" s="1" t="n">
        <v>43748</v>
      </c>
      <c r="C1844" s="1" t="n">
        <v>45210</v>
      </c>
      <c r="D1844" t="inlineStr">
        <is>
          <t>DALARNAS LÄN</t>
        </is>
      </c>
      <c r="E1844" t="inlineStr">
        <is>
          <t>VANSBRO</t>
        </is>
      </c>
      <c r="F1844" t="inlineStr">
        <is>
          <t>Bergvik skog väst AB</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53404-2019</t>
        </is>
      </c>
      <c r="B1845" s="1" t="n">
        <v>43748</v>
      </c>
      <c r="C1845" s="1" t="n">
        <v>45210</v>
      </c>
      <c r="D1845" t="inlineStr">
        <is>
          <t>DALARNAS LÄN</t>
        </is>
      </c>
      <c r="E1845" t="inlineStr">
        <is>
          <t>SÄTER</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53336-2019</t>
        </is>
      </c>
      <c r="B1846" s="1" t="n">
        <v>43748</v>
      </c>
      <c r="C1846" s="1" t="n">
        <v>45210</v>
      </c>
      <c r="D1846" t="inlineStr">
        <is>
          <t>DALARNAS LÄN</t>
        </is>
      </c>
      <c r="E1846" t="inlineStr">
        <is>
          <t>MORA</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53553-2019</t>
        </is>
      </c>
      <c r="B1847" s="1" t="n">
        <v>43749</v>
      </c>
      <c r="C1847" s="1" t="n">
        <v>45210</v>
      </c>
      <c r="D1847" t="inlineStr">
        <is>
          <t>DALARNAS LÄN</t>
        </is>
      </c>
      <c r="E1847" t="inlineStr">
        <is>
          <t>LEKSAND</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53740-2019</t>
        </is>
      </c>
      <c r="B1848" s="1" t="n">
        <v>43749</v>
      </c>
      <c r="C1848" s="1" t="n">
        <v>45210</v>
      </c>
      <c r="D1848" t="inlineStr">
        <is>
          <t>DALARNAS LÄN</t>
        </is>
      </c>
      <c r="E1848" t="inlineStr">
        <is>
          <t>MALUNG-SÄLEN</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53977-2019</t>
        </is>
      </c>
      <c r="B1849" s="1" t="n">
        <v>43752</v>
      </c>
      <c r="C1849" s="1" t="n">
        <v>45210</v>
      </c>
      <c r="D1849" t="inlineStr">
        <is>
          <t>DALARNAS LÄN</t>
        </is>
      </c>
      <c r="E1849" t="inlineStr">
        <is>
          <t>AVESTA</t>
        </is>
      </c>
      <c r="F1849" t="inlineStr">
        <is>
          <t>Sveaskog</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54054-2019</t>
        </is>
      </c>
      <c r="B1850" s="1" t="n">
        <v>43752</v>
      </c>
      <c r="C1850" s="1" t="n">
        <v>45210</v>
      </c>
      <c r="D1850" t="inlineStr">
        <is>
          <t>DALARNAS LÄN</t>
        </is>
      </c>
      <c r="E1850" t="inlineStr">
        <is>
          <t>FALUN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54296-2019</t>
        </is>
      </c>
      <c r="B1851" s="1" t="n">
        <v>43753</v>
      </c>
      <c r="C1851" s="1" t="n">
        <v>45210</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54304-2019</t>
        </is>
      </c>
      <c r="B1852" s="1" t="n">
        <v>43753</v>
      </c>
      <c r="C1852" s="1" t="n">
        <v>45210</v>
      </c>
      <c r="D1852" t="inlineStr">
        <is>
          <t>DALARNAS LÄN</t>
        </is>
      </c>
      <c r="E1852" t="inlineStr">
        <is>
          <t>SÄTER</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54441-2019</t>
        </is>
      </c>
      <c r="B1853" s="1" t="n">
        <v>43754</v>
      </c>
      <c r="C1853" s="1" t="n">
        <v>45210</v>
      </c>
      <c r="D1853" t="inlineStr">
        <is>
          <t>DALARNAS LÄN</t>
        </is>
      </c>
      <c r="E1853" t="inlineStr">
        <is>
          <t>SMEDJEBACKEN</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54605-2019</t>
        </is>
      </c>
      <c r="B1854" s="1" t="n">
        <v>43754</v>
      </c>
      <c r="C1854" s="1" t="n">
        <v>45210</v>
      </c>
      <c r="D1854" t="inlineStr">
        <is>
          <t>DALARNAS LÄN</t>
        </is>
      </c>
      <c r="E1854" t="inlineStr">
        <is>
          <t>MORA</t>
        </is>
      </c>
      <c r="F1854" t="inlineStr">
        <is>
          <t>Övriga Aktiebolag</t>
        </is>
      </c>
      <c r="G1854" t="n">
        <v>12.7</v>
      </c>
      <c r="H1854" t="n">
        <v>0</v>
      </c>
      <c r="I1854" t="n">
        <v>0</v>
      </c>
      <c r="J1854" t="n">
        <v>0</v>
      </c>
      <c r="K1854" t="n">
        <v>0</v>
      </c>
      <c r="L1854" t="n">
        <v>0</v>
      </c>
      <c r="M1854" t="n">
        <v>0</v>
      </c>
      <c r="N1854" t="n">
        <v>0</v>
      </c>
      <c r="O1854" t="n">
        <v>0</v>
      </c>
      <c r="P1854" t="n">
        <v>0</v>
      </c>
      <c r="Q1854" t="n">
        <v>0</v>
      </c>
      <c r="R1854" s="2" t="inlineStr"/>
    </row>
    <row r="1855" ht="15" customHeight="1">
      <c r="A1855" t="inlineStr">
        <is>
          <t>A 55370-2019</t>
        </is>
      </c>
      <c r="B1855" s="1" t="n">
        <v>43754</v>
      </c>
      <c r="C1855" s="1" t="n">
        <v>45210</v>
      </c>
      <c r="D1855" t="inlineStr">
        <is>
          <t>DALARNAS LÄN</t>
        </is>
      </c>
      <c r="E1855" t="inlineStr">
        <is>
          <t>SMEDJEBACKEN</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55213-2019</t>
        </is>
      </c>
      <c r="B1856" s="1" t="n">
        <v>43756</v>
      </c>
      <c r="C1856" s="1" t="n">
        <v>45210</v>
      </c>
      <c r="D1856" t="inlineStr">
        <is>
          <t>DALARNAS LÄN</t>
        </is>
      </c>
      <c r="E1856" t="inlineStr">
        <is>
          <t>GAGNEF</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56609-2019</t>
        </is>
      </c>
      <c r="B1857" s="1" t="n">
        <v>43758</v>
      </c>
      <c r="C1857" s="1" t="n">
        <v>45210</v>
      </c>
      <c r="D1857" t="inlineStr">
        <is>
          <t>DALARNAS LÄN</t>
        </is>
      </c>
      <c r="E1857" t="inlineStr">
        <is>
          <t>RÄTTVIK</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55777-2019</t>
        </is>
      </c>
      <c r="B1858" s="1" t="n">
        <v>43759</v>
      </c>
      <c r="C1858" s="1" t="n">
        <v>45210</v>
      </c>
      <c r="D1858" t="inlineStr">
        <is>
          <t>DALARNAS LÄN</t>
        </is>
      </c>
      <c r="E1858" t="inlineStr">
        <is>
          <t>FALUN</t>
        </is>
      </c>
      <c r="F1858" t="inlineStr">
        <is>
          <t>Bergvik skog väst AB</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55798-2019</t>
        </is>
      </c>
      <c r="B1859" s="1" t="n">
        <v>43759</v>
      </c>
      <c r="C1859" s="1" t="n">
        <v>45210</v>
      </c>
      <c r="D1859" t="inlineStr">
        <is>
          <t>DALARNAS LÄN</t>
        </is>
      </c>
      <c r="E1859" t="inlineStr">
        <is>
          <t>FALUN</t>
        </is>
      </c>
      <c r="F1859" t="inlineStr">
        <is>
          <t>Bergvik skog väst AB</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56690-2019</t>
        </is>
      </c>
      <c r="B1860" s="1" t="n">
        <v>43759</v>
      </c>
      <c r="C1860" s="1" t="n">
        <v>45210</v>
      </c>
      <c r="D1860" t="inlineStr">
        <is>
          <t>DALARNAS LÄN</t>
        </is>
      </c>
      <c r="E1860" t="inlineStr">
        <is>
          <t>FALUN</t>
        </is>
      </c>
      <c r="G1860" t="n">
        <v>3.6</v>
      </c>
      <c r="H1860" t="n">
        <v>0</v>
      </c>
      <c r="I1860" t="n">
        <v>0</v>
      </c>
      <c r="J1860" t="n">
        <v>0</v>
      </c>
      <c r="K1860" t="n">
        <v>0</v>
      </c>
      <c r="L1860" t="n">
        <v>0</v>
      </c>
      <c r="M1860" t="n">
        <v>0</v>
      </c>
      <c r="N1860" t="n">
        <v>0</v>
      </c>
      <c r="O1860" t="n">
        <v>0</v>
      </c>
      <c r="P1860" t="n">
        <v>0</v>
      </c>
      <c r="Q1860" t="n">
        <v>0</v>
      </c>
      <c r="R1860" s="2" t="inlineStr"/>
    </row>
    <row r="1861" ht="15" customHeight="1">
      <c r="A1861" t="inlineStr">
        <is>
          <t>A 55871-2019</t>
        </is>
      </c>
      <c r="B1861" s="1" t="n">
        <v>43759</v>
      </c>
      <c r="C1861" s="1" t="n">
        <v>45210</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55522-2019</t>
        </is>
      </c>
      <c r="B1862" s="1" t="n">
        <v>43759</v>
      </c>
      <c r="C1862" s="1" t="n">
        <v>45210</v>
      </c>
      <c r="D1862" t="inlineStr">
        <is>
          <t>DALARNAS LÄN</t>
        </is>
      </c>
      <c r="E1862" t="inlineStr">
        <is>
          <t>ORSA</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55815-2019</t>
        </is>
      </c>
      <c r="B1863" s="1" t="n">
        <v>43759</v>
      </c>
      <c r="C1863" s="1" t="n">
        <v>45210</v>
      </c>
      <c r="D1863" t="inlineStr">
        <is>
          <t>DALARNAS LÄN</t>
        </is>
      </c>
      <c r="E1863" t="inlineStr">
        <is>
          <t>FALUN</t>
        </is>
      </c>
      <c r="F1863" t="inlineStr">
        <is>
          <t>Bergvik skog väst AB</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55649-2019</t>
        </is>
      </c>
      <c r="B1864" s="1" t="n">
        <v>43760</v>
      </c>
      <c r="C1864" s="1" t="n">
        <v>45210</v>
      </c>
      <c r="D1864" t="inlineStr">
        <is>
          <t>DALARNAS LÄN</t>
        </is>
      </c>
      <c r="E1864" t="inlineStr">
        <is>
          <t>ÄLVDALEN</t>
        </is>
      </c>
      <c r="F1864" t="inlineStr">
        <is>
          <t>Kyrkan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55576-2019</t>
        </is>
      </c>
      <c r="B1865" s="1" t="n">
        <v>43760</v>
      </c>
      <c r="C1865" s="1" t="n">
        <v>45210</v>
      </c>
      <c r="D1865" t="inlineStr">
        <is>
          <t>DALARNAS LÄN</t>
        </is>
      </c>
      <c r="E1865" t="inlineStr">
        <is>
          <t>SMEDJEBACKEN</t>
        </is>
      </c>
      <c r="F1865" t="inlineStr">
        <is>
          <t>Övriga Aktiebolag</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55633-2019</t>
        </is>
      </c>
      <c r="B1866" s="1" t="n">
        <v>43760</v>
      </c>
      <c r="C1866" s="1" t="n">
        <v>45210</v>
      </c>
      <c r="D1866" t="inlineStr">
        <is>
          <t>DALARNAS LÄN</t>
        </is>
      </c>
      <c r="E1866" t="inlineStr">
        <is>
          <t>SMEDJEBACKEN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57663-2019</t>
        </is>
      </c>
      <c r="B1867" s="1" t="n">
        <v>43761</v>
      </c>
      <c r="C1867" s="1" t="n">
        <v>45210</v>
      </c>
      <c r="D1867" t="inlineStr">
        <is>
          <t>DALARNAS LÄN</t>
        </is>
      </c>
      <c r="E1867" t="inlineStr">
        <is>
          <t>RÄTTVIK</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56145-2019</t>
        </is>
      </c>
      <c r="B1868" s="1" t="n">
        <v>43761</v>
      </c>
      <c r="C1868" s="1" t="n">
        <v>45210</v>
      </c>
      <c r="D1868" t="inlineStr">
        <is>
          <t>DALARNAS LÄN</t>
        </is>
      </c>
      <c r="E1868" t="inlineStr">
        <is>
          <t>MORA</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56264-2019</t>
        </is>
      </c>
      <c r="B1869" s="1" t="n">
        <v>43762</v>
      </c>
      <c r="C1869" s="1" t="n">
        <v>45210</v>
      </c>
      <c r="D1869" t="inlineStr">
        <is>
          <t>DALARNAS LÄN</t>
        </is>
      </c>
      <c r="E1869" t="inlineStr">
        <is>
          <t>GAGNEF</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56456-2019</t>
        </is>
      </c>
      <c r="B1870" s="1" t="n">
        <v>43762</v>
      </c>
      <c r="C1870" s="1" t="n">
        <v>45210</v>
      </c>
      <c r="D1870" t="inlineStr">
        <is>
          <t>DALARNAS LÄN</t>
        </is>
      </c>
      <c r="E1870" t="inlineStr">
        <is>
          <t>SÄTER</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57052-2019</t>
        </is>
      </c>
      <c r="B1871" s="1" t="n">
        <v>43762</v>
      </c>
      <c r="C1871" s="1" t="n">
        <v>45210</v>
      </c>
      <c r="D1871" t="inlineStr">
        <is>
          <t>DALARNAS LÄN</t>
        </is>
      </c>
      <c r="E1871" t="inlineStr">
        <is>
          <t>MALUNG-SÄLEN</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56455-2019</t>
        </is>
      </c>
      <c r="B1872" s="1" t="n">
        <v>43762</v>
      </c>
      <c r="C1872" s="1" t="n">
        <v>45210</v>
      </c>
      <c r="D1872" t="inlineStr">
        <is>
          <t>DALARNAS LÄN</t>
        </is>
      </c>
      <c r="E1872" t="inlineStr">
        <is>
          <t>FALUN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56523-2019</t>
        </is>
      </c>
      <c r="B1873" s="1" t="n">
        <v>43763</v>
      </c>
      <c r="C1873" s="1" t="n">
        <v>45210</v>
      </c>
      <c r="D1873" t="inlineStr">
        <is>
          <t>DALARNAS LÄN</t>
        </is>
      </c>
      <c r="E1873" t="inlineStr">
        <is>
          <t>MALUNG-SÄLEN</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56714-2019</t>
        </is>
      </c>
      <c r="B1874" s="1" t="n">
        <v>43763</v>
      </c>
      <c r="C1874" s="1" t="n">
        <v>45210</v>
      </c>
      <c r="D1874" t="inlineStr">
        <is>
          <t>DALARNAS LÄN</t>
        </is>
      </c>
      <c r="E1874" t="inlineStr">
        <is>
          <t>GAGNEF</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56844-2019</t>
        </is>
      </c>
      <c r="B1875" s="1" t="n">
        <v>43765</v>
      </c>
      <c r="C1875" s="1" t="n">
        <v>45210</v>
      </c>
      <c r="D1875" t="inlineStr">
        <is>
          <t>DALARNAS LÄN</t>
        </is>
      </c>
      <c r="E1875" t="inlineStr">
        <is>
          <t>LEKSAND</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56862-2019</t>
        </is>
      </c>
      <c r="B1876" s="1" t="n">
        <v>43765</v>
      </c>
      <c r="C1876" s="1" t="n">
        <v>45210</v>
      </c>
      <c r="D1876" t="inlineStr">
        <is>
          <t>DALARNAS LÄN</t>
        </is>
      </c>
      <c r="E1876" t="inlineStr">
        <is>
          <t>ORSA</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57067-2019</t>
        </is>
      </c>
      <c r="B1877" s="1" t="n">
        <v>43766</v>
      </c>
      <c r="C1877" s="1" t="n">
        <v>45210</v>
      </c>
      <c r="D1877" t="inlineStr">
        <is>
          <t>DALARNAS LÄN</t>
        </is>
      </c>
      <c r="E1877" t="inlineStr">
        <is>
          <t>SMEDJEBACKEN</t>
        </is>
      </c>
      <c r="F1877" t="inlineStr">
        <is>
          <t>Sveaskog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56890-2019</t>
        </is>
      </c>
      <c r="B1878" s="1" t="n">
        <v>43766</v>
      </c>
      <c r="C1878" s="1" t="n">
        <v>45210</v>
      </c>
      <c r="D1878" t="inlineStr">
        <is>
          <t>DALARNAS LÄN</t>
        </is>
      </c>
      <c r="E1878" t="inlineStr">
        <is>
          <t>FALUN</t>
        </is>
      </c>
      <c r="F1878" t="inlineStr">
        <is>
          <t>Bergvik skog väst AB</t>
        </is>
      </c>
      <c r="G1878" t="n">
        <v>3.1</v>
      </c>
      <c r="H1878" t="n">
        <v>0</v>
      </c>
      <c r="I1878" t="n">
        <v>0</v>
      </c>
      <c r="J1878" t="n">
        <v>0</v>
      </c>
      <c r="K1878" t="n">
        <v>0</v>
      </c>
      <c r="L1878" t="n">
        <v>0</v>
      </c>
      <c r="M1878" t="n">
        <v>0</v>
      </c>
      <c r="N1878" t="n">
        <v>0</v>
      </c>
      <c r="O1878" t="n">
        <v>0</v>
      </c>
      <c r="P1878" t="n">
        <v>0</v>
      </c>
      <c r="Q1878" t="n">
        <v>0</v>
      </c>
      <c r="R1878" s="2" t="inlineStr"/>
    </row>
    <row r="1879" ht="15" customHeight="1">
      <c r="A1879" t="inlineStr">
        <is>
          <t>A 57163-2019</t>
        </is>
      </c>
      <c r="B1879" s="1" t="n">
        <v>43766</v>
      </c>
      <c r="C1879" s="1" t="n">
        <v>45210</v>
      </c>
      <c r="D1879" t="inlineStr">
        <is>
          <t>DALARNAS LÄN</t>
        </is>
      </c>
      <c r="E1879" t="inlineStr">
        <is>
          <t>FALUN</t>
        </is>
      </c>
      <c r="G1879" t="n">
        <v>6</v>
      </c>
      <c r="H1879" t="n">
        <v>0</v>
      </c>
      <c r="I1879" t="n">
        <v>0</v>
      </c>
      <c r="J1879" t="n">
        <v>0</v>
      </c>
      <c r="K1879" t="n">
        <v>0</v>
      </c>
      <c r="L1879" t="n">
        <v>0</v>
      </c>
      <c r="M1879" t="n">
        <v>0</v>
      </c>
      <c r="N1879" t="n">
        <v>0</v>
      </c>
      <c r="O1879" t="n">
        <v>0</v>
      </c>
      <c r="P1879" t="n">
        <v>0</v>
      </c>
      <c r="Q1879" t="n">
        <v>0</v>
      </c>
      <c r="R1879" s="2" t="inlineStr"/>
    </row>
    <row r="1880" ht="15" customHeight="1">
      <c r="A1880" t="inlineStr">
        <is>
          <t>A 58514-2019</t>
        </is>
      </c>
      <c r="B1880" s="1" t="n">
        <v>43766</v>
      </c>
      <c r="C1880" s="1" t="n">
        <v>45210</v>
      </c>
      <c r="D1880" t="inlineStr">
        <is>
          <t>DALARNAS LÄN</t>
        </is>
      </c>
      <c r="E1880" t="inlineStr">
        <is>
          <t>RÄTTVIK</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57254-2019</t>
        </is>
      </c>
      <c r="B1881" s="1" t="n">
        <v>43767</v>
      </c>
      <c r="C1881" s="1" t="n">
        <v>45210</v>
      </c>
      <c r="D1881" t="inlineStr">
        <is>
          <t>DALARNAS LÄN</t>
        </is>
      </c>
      <c r="E1881" t="inlineStr">
        <is>
          <t>MORA</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57297-2019</t>
        </is>
      </c>
      <c r="B1882" s="1" t="n">
        <v>43767</v>
      </c>
      <c r="C1882" s="1" t="n">
        <v>45210</v>
      </c>
      <c r="D1882" t="inlineStr">
        <is>
          <t>DALARNAS LÄN</t>
        </is>
      </c>
      <c r="E1882" t="inlineStr">
        <is>
          <t>BORLÄNGE</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57221-2019</t>
        </is>
      </c>
      <c r="B1883" s="1" t="n">
        <v>43767</v>
      </c>
      <c r="C1883" s="1" t="n">
        <v>45210</v>
      </c>
      <c r="D1883" t="inlineStr">
        <is>
          <t>DALARNAS LÄN</t>
        </is>
      </c>
      <c r="E1883" t="inlineStr">
        <is>
          <t>LEKSAND</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57357-2019</t>
        </is>
      </c>
      <c r="B1884" s="1" t="n">
        <v>43767</v>
      </c>
      <c r="C1884" s="1" t="n">
        <v>45210</v>
      </c>
      <c r="D1884" t="inlineStr">
        <is>
          <t>DALARNAS LÄN</t>
        </is>
      </c>
      <c r="E1884" t="inlineStr">
        <is>
          <t>SMEDJEBACKEN</t>
        </is>
      </c>
      <c r="G1884" t="n">
        <v>5</v>
      </c>
      <c r="H1884" t="n">
        <v>0</v>
      </c>
      <c r="I1884" t="n">
        <v>0</v>
      </c>
      <c r="J1884" t="n">
        <v>0</v>
      </c>
      <c r="K1884" t="n">
        <v>0</v>
      </c>
      <c r="L1884" t="n">
        <v>0</v>
      </c>
      <c r="M1884" t="n">
        <v>0</v>
      </c>
      <c r="N1884" t="n">
        <v>0</v>
      </c>
      <c r="O1884" t="n">
        <v>0</v>
      </c>
      <c r="P1884" t="n">
        <v>0</v>
      </c>
      <c r="Q1884" t="n">
        <v>0</v>
      </c>
      <c r="R1884" s="2" t="inlineStr"/>
    </row>
    <row r="1885" ht="15" customHeight="1">
      <c r="A1885" t="inlineStr">
        <is>
          <t>A 57490-2019</t>
        </is>
      </c>
      <c r="B1885" s="1" t="n">
        <v>43767</v>
      </c>
      <c r="C1885" s="1" t="n">
        <v>45210</v>
      </c>
      <c r="D1885" t="inlineStr">
        <is>
          <t>DALARNAS LÄN</t>
        </is>
      </c>
      <c r="E1885" t="inlineStr">
        <is>
          <t>RÄTTVIK</t>
        </is>
      </c>
      <c r="F1885" t="inlineStr">
        <is>
          <t>Bergvik skog väst AB</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57200-2019</t>
        </is>
      </c>
      <c r="B1886" s="1" t="n">
        <v>43767</v>
      </c>
      <c r="C1886" s="1" t="n">
        <v>45210</v>
      </c>
      <c r="D1886" t="inlineStr">
        <is>
          <t>DALARNAS LÄN</t>
        </is>
      </c>
      <c r="E1886" t="inlineStr">
        <is>
          <t>VANSBRO</t>
        </is>
      </c>
      <c r="F1886" t="inlineStr">
        <is>
          <t>Bergvik skog väst AB</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57486-2019</t>
        </is>
      </c>
      <c r="B1887" s="1" t="n">
        <v>43767</v>
      </c>
      <c r="C1887" s="1" t="n">
        <v>45210</v>
      </c>
      <c r="D1887" t="inlineStr">
        <is>
          <t>DALARNAS LÄN</t>
        </is>
      </c>
      <c r="E1887" t="inlineStr">
        <is>
          <t>MALUNG-SÄLEN</t>
        </is>
      </c>
      <c r="F1887" t="inlineStr">
        <is>
          <t>Övriga statliga verk och myndigheter</t>
        </is>
      </c>
      <c r="G1887" t="n">
        <v>6.9</v>
      </c>
      <c r="H1887" t="n">
        <v>0</v>
      </c>
      <c r="I1887" t="n">
        <v>0</v>
      </c>
      <c r="J1887" t="n">
        <v>0</v>
      </c>
      <c r="K1887" t="n">
        <v>0</v>
      </c>
      <c r="L1887" t="n">
        <v>0</v>
      </c>
      <c r="M1887" t="n">
        <v>0</v>
      </c>
      <c r="N1887" t="n">
        <v>0</v>
      </c>
      <c r="O1887" t="n">
        <v>0</v>
      </c>
      <c r="P1887" t="n">
        <v>0</v>
      </c>
      <c r="Q1887" t="n">
        <v>0</v>
      </c>
      <c r="R1887" s="2" t="inlineStr"/>
    </row>
    <row r="1888" ht="15" customHeight="1">
      <c r="A1888" t="inlineStr">
        <is>
          <t>A 57243-2019</t>
        </is>
      </c>
      <c r="B1888" s="1" t="n">
        <v>43767</v>
      </c>
      <c r="C1888" s="1" t="n">
        <v>45210</v>
      </c>
      <c r="D1888" t="inlineStr">
        <is>
          <t>DALARNAS LÄN</t>
        </is>
      </c>
      <c r="E1888" t="inlineStr">
        <is>
          <t>MALUNG-SÄLEN</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57618-2019</t>
        </is>
      </c>
      <c r="B1889" s="1" t="n">
        <v>43768</v>
      </c>
      <c r="C1889" s="1" t="n">
        <v>45210</v>
      </c>
      <c r="D1889" t="inlineStr">
        <is>
          <t>DALARNAS LÄN</t>
        </is>
      </c>
      <c r="E1889" t="inlineStr">
        <is>
          <t>BORLÄNGE</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57640-2019</t>
        </is>
      </c>
      <c r="B1890" s="1" t="n">
        <v>43768</v>
      </c>
      <c r="C1890" s="1" t="n">
        <v>45210</v>
      </c>
      <c r="D1890" t="inlineStr">
        <is>
          <t>DALARNAS LÄN</t>
        </is>
      </c>
      <c r="E1890" t="inlineStr">
        <is>
          <t>MORA</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57687-2019</t>
        </is>
      </c>
      <c r="B1891" s="1" t="n">
        <v>43768</v>
      </c>
      <c r="C1891" s="1" t="n">
        <v>45210</v>
      </c>
      <c r="D1891" t="inlineStr">
        <is>
          <t>DALARNAS LÄN</t>
        </is>
      </c>
      <c r="E1891" t="inlineStr">
        <is>
          <t>FALUN</t>
        </is>
      </c>
      <c r="F1891" t="inlineStr">
        <is>
          <t>Bergvik skog väst AB</t>
        </is>
      </c>
      <c r="G1891" t="n">
        <v>7.5</v>
      </c>
      <c r="H1891" t="n">
        <v>0</v>
      </c>
      <c r="I1891" t="n">
        <v>0</v>
      </c>
      <c r="J1891" t="n">
        <v>0</v>
      </c>
      <c r="K1891" t="n">
        <v>0</v>
      </c>
      <c r="L1891" t="n">
        <v>0</v>
      </c>
      <c r="M1891" t="n">
        <v>0</v>
      </c>
      <c r="N1891" t="n">
        <v>0</v>
      </c>
      <c r="O1891" t="n">
        <v>0</v>
      </c>
      <c r="P1891" t="n">
        <v>0</v>
      </c>
      <c r="Q1891" t="n">
        <v>0</v>
      </c>
      <c r="R1891" s="2" t="inlineStr"/>
    </row>
    <row r="1892" ht="15" customHeight="1">
      <c r="A1892" t="inlineStr">
        <is>
          <t>A 57728-2019</t>
        </is>
      </c>
      <c r="B1892" s="1" t="n">
        <v>43768</v>
      </c>
      <c r="C1892" s="1" t="n">
        <v>45210</v>
      </c>
      <c r="D1892" t="inlineStr">
        <is>
          <t>DALARNAS LÄN</t>
        </is>
      </c>
      <c r="E1892" t="inlineStr">
        <is>
          <t>GAGNEF</t>
        </is>
      </c>
      <c r="G1892" t="n">
        <v>3.4</v>
      </c>
      <c r="H1892" t="n">
        <v>0</v>
      </c>
      <c r="I1892" t="n">
        <v>0</v>
      </c>
      <c r="J1892" t="n">
        <v>0</v>
      </c>
      <c r="K1892" t="n">
        <v>0</v>
      </c>
      <c r="L1892" t="n">
        <v>0</v>
      </c>
      <c r="M1892" t="n">
        <v>0</v>
      </c>
      <c r="N1892" t="n">
        <v>0</v>
      </c>
      <c r="O1892" t="n">
        <v>0</v>
      </c>
      <c r="P1892" t="n">
        <v>0</v>
      </c>
      <c r="Q1892" t="n">
        <v>0</v>
      </c>
      <c r="R1892" s="2" t="inlineStr"/>
    </row>
    <row r="1893" ht="15" customHeight="1">
      <c r="A1893" t="inlineStr">
        <is>
          <t>A 57984-2019</t>
        </is>
      </c>
      <c r="B1893" s="1" t="n">
        <v>43769</v>
      </c>
      <c r="C1893" s="1" t="n">
        <v>45210</v>
      </c>
      <c r="D1893" t="inlineStr">
        <is>
          <t>DALARNAS LÄN</t>
        </is>
      </c>
      <c r="E1893" t="inlineStr">
        <is>
          <t>MORA</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57989-2019</t>
        </is>
      </c>
      <c r="B1894" s="1" t="n">
        <v>43769</v>
      </c>
      <c r="C1894" s="1" t="n">
        <v>45210</v>
      </c>
      <c r="D1894" t="inlineStr">
        <is>
          <t>DALARNAS LÄN</t>
        </is>
      </c>
      <c r="E1894" t="inlineStr">
        <is>
          <t>MORA</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58025-2019</t>
        </is>
      </c>
      <c r="B1895" s="1" t="n">
        <v>43769</v>
      </c>
      <c r="C1895" s="1" t="n">
        <v>45210</v>
      </c>
      <c r="D1895" t="inlineStr">
        <is>
          <t>DALARNAS LÄN</t>
        </is>
      </c>
      <c r="E1895" t="inlineStr">
        <is>
          <t>VANSBRO</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58139-2019</t>
        </is>
      </c>
      <c r="B1896" s="1" t="n">
        <v>43769</v>
      </c>
      <c r="C1896" s="1" t="n">
        <v>45210</v>
      </c>
      <c r="D1896" t="inlineStr">
        <is>
          <t>DALARNAS LÄN</t>
        </is>
      </c>
      <c r="E1896" t="inlineStr">
        <is>
          <t>FALUN</t>
        </is>
      </c>
      <c r="F1896" t="inlineStr">
        <is>
          <t>Kyrkan</t>
        </is>
      </c>
      <c r="G1896" t="n">
        <v>1.8</v>
      </c>
      <c r="H1896" t="n">
        <v>0</v>
      </c>
      <c r="I1896" t="n">
        <v>0</v>
      </c>
      <c r="J1896" t="n">
        <v>0</v>
      </c>
      <c r="K1896" t="n">
        <v>0</v>
      </c>
      <c r="L1896" t="n">
        <v>0</v>
      </c>
      <c r="M1896" t="n">
        <v>0</v>
      </c>
      <c r="N1896" t="n">
        <v>0</v>
      </c>
      <c r="O1896" t="n">
        <v>0</v>
      </c>
      <c r="P1896" t="n">
        <v>0</v>
      </c>
      <c r="Q1896" t="n">
        <v>0</v>
      </c>
      <c r="R1896" s="2" t="inlineStr"/>
    </row>
    <row r="1897" ht="15" customHeight="1">
      <c r="A1897" t="inlineStr">
        <is>
          <t>A 58336-2019</t>
        </is>
      </c>
      <c r="B1897" s="1" t="n">
        <v>43770</v>
      </c>
      <c r="C1897" s="1" t="n">
        <v>45210</v>
      </c>
      <c r="D1897" t="inlineStr">
        <is>
          <t>DALARNAS LÄN</t>
        </is>
      </c>
      <c r="E1897" t="inlineStr">
        <is>
          <t>GAGNEF</t>
        </is>
      </c>
      <c r="G1897" t="n">
        <v>9.9</v>
      </c>
      <c r="H1897" t="n">
        <v>0</v>
      </c>
      <c r="I1897" t="n">
        <v>0</v>
      </c>
      <c r="J1897" t="n">
        <v>0</v>
      </c>
      <c r="K1897" t="n">
        <v>0</v>
      </c>
      <c r="L1897" t="n">
        <v>0</v>
      </c>
      <c r="M1897" t="n">
        <v>0</v>
      </c>
      <c r="N1897" t="n">
        <v>0</v>
      </c>
      <c r="O1897" t="n">
        <v>0</v>
      </c>
      <c r="P1897" t="n">
        <v>0</v>
      </c>
      <c r="Q1897" t="n">
        <v>0</v>
      </c>
      <c r="R1897" s="2" t="inlineStr"/>
    </row>
    <row r="1898" ht="15" customHeight="1">
      <c r="A1898" t="inlineStr">
        <is>
          <t>A 59171-2019</t>
        </is>
      </c>
      <c r="B1898" s="1" t="n">
        <v>43770</v>
      </c>
      <c r="C1898" s="1" t="n">
        <v>45210</v>
      </c>
      <c r="D1898" t="inlineStr">
        <is>
          <t>DALARNAS LÄN</t>
        </is>
      </c>
      <c r="E1898" t="inlineStr">
        <is>
          <t>RÄTTVIK</t>
        </is>
      </c>
      <c r="G1898" t="n">
        <v>5.2</v>
      </c>
      <c r="H1898" t="n">
        <v>0</v>
      </c>
      <c r="I1898" t="n">
        <v>0</v>
      </c>
      <c r="J1898" t="n">
        <v>0</v>
      </c>
      <c r="K1898" t="n">
        <v>0</v>
      </c>
      <c r="L1898" t="n">
        <v>0</v>
      </c>
      <c r="M1898" t="n">
        <v>0</v>
      </c>
      <c r="N1898" t="n">
        <v>0</v>
      </c>
      <c r="O1898" t="n">
        <v>0</v>
      </c>
      <c r="P1898" t="n">
        <v>0</v>
      </c>
      <c r="Q1898" t="n">
        <v>0</v>
      </c>
      <c r="R1898" s="2" t="inlineStr"/>
    </row>
    <row r="1899" ht="15" customHeight="1">
      <c r="A1899" t="inlineStr">
        <is>
          <t>A 59304-2019</t>
        </is>
      </c>
      <c r="B1899" s="1" t="n">
        <v>43770</v>
      </c>
      <c r="C1899" s="1" t="n">
        <v>45210</v>
      </c>
      <c r="D1899" t="inlineStr">
        <is>
          <t>DALARNAS LÄN</t>
        </is>
      </c>
      <c r="E1899" t="inlineStr">
        <is>
          <t>LUDVIKA</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58237-2019</t>
        </is>
      </c>
      <c r="B1900" s="1" t="n">
        <v>43770</v>
      </c>
      <c r="C1900" s="1" t="n">
        <v>45210</v>
      </c>
      <c r="D1900" t="inlineStr">
        <is>
          <t>DALARNAS LÄN</t>
        </is>
      </c>
      <c r="E1900" t="inlineStr">
        <is>
          <t>LEKSAND</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59176-2019</t>
        </is>
      </c>
      <c r="B1901" s="1" t="n">
        <v>43770</v>
      </c>
      <c r="C1901" s="1" t="n">
        <v>45210</v>
      </c>
      <c r="D1901" t="inlineStr">
        <is>
          <t>DALARNAS LÄN</t>
        </is>
      </c>
      <c r="E1901" t="inlineStr">
        <is>
          <t>RÄTTVIK</t>
        </is>
      </c>
      <c r="G1901" t="n">
        <v>4.7</v>
      </c>
      <c r="H1901" t="n">
        <v>0</v>
      </c>
      <c r="I1901" t="n">
        <v>0</v>
      </c>
      <c r="J1901" t="n">
        <v>0</v>
      </c>
      <c r="K1901" t="n">
        <v>0</v>
      </c>
      <c r="L1901" t="n">
        <v>0</v>
      </c>
      <c r="M1901" t="n">
        <v>0</v>
      </c>
      <c r="N1901" t="n">
        <v>0</v>
      </c>
      <c r="O1901" t="n">
        <v>0</v>
      </c>
      <c r="P1901" t="n">
        <v>0</v>
      </c>
      <c r="Q1901" t="n">
        <v>0</v>
      </c>
      <c r="R1901" s="2" t="inlineStr"/>
    </row>
    <row r="1902" ht="15" customHeight="1">
      <c r="A1902" t="inlineStr">
        <is>
          <t>A 58433-2019</t>
        </is>
      </c>
      <c r="B1902" s="1" t="n">
        <v>43773</v>
      </c>
      <c r="C1902" s="1" t="n">
        <v>45210</v>
      </c>
      <c r="D1902" t="inlineStr">
        <is>
          <t>DALARNAS LÄN</t>
        </is>
      </c>
      <c r="E1902" t="inlineStr">
        <is>
          <t>FALUN</t>
        </is>
      </c>
      <c r="F1902" t="inlineStr">
        <is>
          <t>Bergvik skog väst AB</t>
        </is>
      </c>
      <c r="G1902" t="n">
        <v>15.4</v>
      </c>
      <c r="H1902" t="n">
        <v>0</v>
      </c>
      <c r="I1902" t="n">
        <v>0</v>
      </c>
      <c r="J1902" t="n">
        <v>0</v>
      </c>
      <c r="K1902" t="n">
        <v>0</v>
      </c>
      <c r="L1902" t="n">
        <v>0</v>
      </c>
      <c r="M1902" t="n">
        <v>0</v>
      </c>
      <c r="N1902" t="n">
        <v>0</v>
      </c>
      <c r="O1902" t="n">
        <v>0</v>
      </c>
      <c r="P1902" t="n">
        <v>0</v>
      </c>
      <c r="Q1902" t="n">
        <v>0</v>
      </c>
      <c r="R1902" s="2" t="inlineStr"/>
    </row>
    <row r="1903" ht="15" customHeight="1">
      <c r="A1903" t="inlineStr">
        <is>
          <t>A 58446-2019</t>
        </is>
      </c>
      <c r="B1903" s="1" t="n">
        <v>43773</v>
      </c>
      <c r="C1903" s="1" t="n">
        <v>45210</v>
      </c>
      <c r="D1903" t="inlineStr">
        <is>
          <t>DALARNAS LÄN</t>
        </is>
      </c>
      <c r="E1903" t="inlineStr">
        <is>
          <t>FALUN</t>
        </is>
      </c>
      <c r="F1903" t="inlineStr">
        <is>
          <t>Bergvik skog väst AB</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58674-2019</t>
        </is>
      </c>
      <c r="B1904" s="1" t="n">
        <v>43773</v>
      </c>
      <c r="C1904" s="1" t="n">
        <v>45210</v>
      </c>
      <c r="D1904" t="inlineStr">
        <is>
          <t>DALARNAS LÄN</t>
        </is>
      </c>
      <c r="E1904" t="inlineStr">
        <is>
          <t>SMEDJEBACKEN</t>
        </is>
      </c>
      <c r="F1904" t="inlineStr">
        <is>
          <t>Sveaskog</t>
        </is>
      </c>
      <c r="G1904" t="n">
        <v>3.9</v>
      </c>
      <c r="H1904" t="n">
        <v>0</v>
      </c>
      <c r="I1904" t="n">
        <v>0</v>
      </c>
      <c r="J1904" t="n">
        <v>0</v>
      </c>
      <c r="K1904" t="n">
        <v>0</v>
      </c>
      <c r="L1904" t="n">
        <v>0</v>
      </c>
      <c r="M1904" t="n">
        <v>0</v>
      </c>
      <c r="N1904" t="n">
        <v>0</v>
      </c>
      <c r="O1904" t="n">
        <v>0</v>
      </c>
      <c r="P1904" t="n">
        <v>0</v>
      </c>
      <c r="Q1904" t="n">
        <v>0</v>
      </c>
      <c r="R1904" s="2" t="inlineStr"/>
    </row>
    <row r="1905" ht="15" customHeight="1">
      <c r="A1905" t="inlineStr">
        <is>
          <t>A 58444-2019</t>
        </is>
      </c>
      <c r="B1905" s="1" t="n">
        <v>43773</v>
      </c>
      <c r="C1905" s="1" t="n">
        <v>45210</v>
      </c>
      <c r="D1905" t="inlineStr">
        <is>
          <t>DALARNAS LÄN</t>
        </is>
      </c>
      <c r="E1905" t="inlineStr">
        <is>
          <t>FALUN</t>
        </is>
      </c>
      <c r="F1905" t="inlineStr">
        <is>
          <t>Bergvik skog väst AB</t>
        </is>
      </c>
      <c r="G1905" t="n">
        <v>6.3</v>
      </c>
      <c r="H1905" t="n">
        <v>0</v>
      </c>
      <c r="I1905" t="n">
        <v>0</v>
      </c>
      <c r="J1905" t="n">
        <v>0</v>
      </c>
      <c r="K1905" t="n">
        <v>0</v>
      </c>
      <c r="L1905" t="n">
        <v>0</v>
      </c>
      <c r="M1905" t="n">
        <v>0</v>
      </c>
      <c r="N1905" t="n">
        <v>0</v>
      </c>
      <c r="O1905" t="n">
        <v>0</v>
      </c>
      <c r="P1905" t="n">
        <v>0</v>
      </c>
      <c r="Q1905" t="n">
        <v>0</v>
      </c>
      <c r="R1905" s="2" t="inlineStr"/>
    </row>
    <row r="1906" ht="15" customHeight="1">
      <c r="A1906" t="inlineStr">
        <is>
          <t>A 58448-2019</t>
        </is>
      </c>
      <c r="B1906" s="1" t="n">
        <v>43773</v>
      </c>
      <c r="C1906" s="1" t="n">
        <v>45210</v>
      </c>
      <c r="D1906" t="inlineStr">
        <is>
          <t>DALARNAS LÄN</t>
        </is>
      </c>
      <c r="E1906" t="inlineStr">
        <is>
          <t>FALUN</t>
        </is>
      </c>
      <c r="F1906" t="inlineStr">
        <is>
          <t>Bergvik skog väst AB</t>
        </is>
      </c>
      <c r="G1906" t="n">
        <v>4.4</v>
      </c>
      <c r="H1906" t="n">
        <v>0</v>
      </c>
      <c r="I1906" t="n">
        <v>0</v>
      </c>
      <c r="J1906" t="n">
        <v>0</v>
      </c>
      <c r="K1906" t="n">
        <v>0</v>
      </c>
      <c r="L1906" t="n">
        <v>0</v>
      </c>
      <c r="M1906" t="n">
        <v>0</v>
      </c>
      <c r="N1906" t="n">
        <v>0</v>
      </c>
      <c r="O1906" t="n">
        <v>0</v>
      </c>
      <c r="P1906" t="n">
        <v>0</v>
      </c>
      <c r="Q1906" t="n">
        <v>0</v>
      </c>
      <c r="R1906" s="2" t="inlineStr"/>
    </row>
    <row r="1907" ht="15" customHeight="1">
      <c r="A1907" t="inlineStr">
        <is>
          <t>A 58463-2019</t>
        </is>
      </c>
      <c r="B1907" s="1" t="n">
        <v>43773</v>
      </c>
      <c r="C1907" s="1" t="n">
        <v>45210</v>
      </c>
      <c r="D1907" t="inlineStr">
        <is>
          <t>DALARNAS LÄN</t>
        </is>
      </c>
      <c r="E1907" t="inlineStr">
        <is>
          <t>FALUN</t>
        </is>
      </c>
      <c r="G1907" t="n">
        <v>15.9</v>
      </c>
      <c r="H1907" t="n">
        <v>0</v>
      </c>
      <c r="I1907" t="n">
        <v>0</v>
      </c>
      <c r="J1907" t="n">
        <v>0</v>
      </c>
      <c r="K1907" t="n">
        <v>0</v>
      </c>
      <c r="L1907" t="n">
        <v>0</v>
      </c>
      <c r="M1907" t="n">
        <v>0</v>
      </c>
      <c r="N1907" t="n">
        <v>0</v>
      </c>
      <c r="O1907" t="n">
        <v>0</v>
      </c>
      <c r="P1907" t="n">
        <v>0</v>
      </c>
      <c r="Q1907" t="n">
        <v>0</v>
      </c>
      <c r="R1907" s="2" t="inlineStr"/>
    </row>
    <row r="1908" ht="15" customHeight="1">
      <c r="A1908" t="inlineStr">
        <is>
          <t>A 58449-2019</t>
        </is>
      </c>
      <c r="B1908" s="1" t="n">
        <v>43773</v>
      </c>
      <c r="C1908" s="1" t="n">
        <v>45210</v>
      </c>
      <c r="D1908" t="inlineStr">
        <is>
          <t>DALARNAS LÄN</t>
        </is>
      </c>
      <c r="E1908" t="inlineStr">
        <is>
          <t>FALUN</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59301-2019</t>
        </is>
      </c>
      <c r="B1909" s="1" t="n">
        <v>43773</v>
      </c>
      <c r="C1909" s="1" t="n">
        <v>45210</v>
      </c>
      <c r="D1909" t="inlineStr">
        <is>
          <t>DALARNAS LÄN</t>
        </is>
      </c>
      <c r="E1909" t="inlineStr">
        <is>
          <t>RÄTTVIK</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58419-2019</t>
        </is>
      </c>
      <c r="B1910" s="1" t="n">
        <v>43773</v>
      </c>
      <c r="C1910" s="1" t="n">
        <v>45210</v>
      </c>
      <c r="D1910" t="inlineStr">
        <is>
          <t>DALARNAS LÄN</t>
        </is>
      </c>
      <c r="E1910" t="inlineStr">
        <is>
          <t>SÄTER</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58439-2019</t>
        </is>
      </c>
      <c r="B1911" s="1" t="n">
        <v>43773</v>
      </c>
      <c r="C1911" s="1" t="n">
        <v>45210</v>
      </c>
      <c r="D1911" t="inlineStr">
        <is>
          <t>DALARNAS LÄN</t>
        </is>
      </c>
      <c r="E1911" t="inlineStr">
        <is>
          <t>FALUN</t>
        </is>
      </c>
      <c r="F1911" t="inlineStr">
        <is>
          <t>Bergvik skog väst AB</t>
        </is>
      </c>
      <c r="G1911" t="n">
        <v>3</v>
      </c>
      <c r="H1911" t="n">
        <v>0</v>
      </c>
      <c r="I1911" t="n">
        <v>0</v>
      </c>
      <c r="J1911" t="n">
        <v>0</v>
      </c>
      <c r="K1911" t="n">
        <v>0</v>
      </c>
      <c r="L1911" t="n">
        <v>0</v>
      </c>
      <c r="M1911" t="n">
        <v>0</v>
      </c>
      <c r="N1911" t="n">
        <v>0</v>
      </c>
      <c r="O1911" t="n">
        <v>0</v>
      </c>
      <c r="P1911" t="n">
        <v>0</v>
      </c>
      <c r="Q1911" t="n">
        <v>0</v>
      </c>
      <c r="R1911" s="2" t="inlineStr"/>
    </row>
    <row r="1912" ht="15" customHeight="1">
      <c r="A1912" t="inlineStr">
        <is>
          <t>A 58603-2019</t>
        </is>
      </c>
      <c r="B1912" s="1" t="n">
        <v>43773</v>
      </c>
      <c r="C1912" s="1" t="n">
        <v>45210</v>
      </c>
      <c r="D1912" t="inlineStr">
        <is>
          <t>DALARNAS LÄN</t>
        </is>
      </c>
      <c r="E1912" t="inlineStr">
        <is>
          <t>SMEDJEBACKEN</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58828-2019</t>
        </is>
      </c>
      <c r="B1913" s="1" t="n">
        <v>43774</v>
      </c>
      <c r="C1913" s="1" t="n">
        <v>45210</v>
      </c>
      <c r="D1913" t="inlineStr">
        <is>
          <t>DALARNAS LÄN</t>
        </is>
      </c>
      <c r="E1913" t="inlineStr">
        <is>
          <t>FALUN</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59007-2019</t>
        </is>
      </c>
      <c r="B1914" s="1" t="n">
        <v>43774</v>
      </c>
      <c r="C1914" s="1" t="n">
        <v>45210</v>
      </c>
      <c r="D1914" t="inlineStr">
        <is>
          <t>DALARNAS LÄN</t>
        </is>
      </c>
      <c r="E1914" t="inlineStr">
        <is>
          <t>ORSA</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59010-2019</t>
        </is>
      </c>
      <c r="B1915" s="1" t="n">
        <v>43774</v>
      </c>
      <c r="C1915" s="1" t="n">
        <v>45210</v>
      </c>
      <c r="D1915" t="inlineStr">
        <is>
          <t>DALARNAS LÄN</t>
        </is>
      </c>
      <c r="E1915" t="inlineStr">
        <is>
          <t>VANSBRO</t>
        </is>
      </c>
      <c r="F1915" t="inlineStr">
        <is>
          <t>Kyrkan</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59240-2019</t>
        </is>
      </c>
      <c r="B1916" s="1" t="n">
        <v>43775</v>
      </c>
      <c r="C1916" s="1" t="n">
        <v>45210</v>
      </c>
      <c r="D1916" t="inlineStr">
        <is>
          <t>DALARNAS LÄN</t>
        </is>
      </c>
      <c r="E1916" t="inlineStr">
        <is>
          <t>SÄTER</t>
        </is>
      </c>
      <c r="F1916" t="inlineStr">
        <is>
          <t>Bergvik skog väst AB</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59315-2019</t>
        </is>
      </c>
      <c r="B1917" s="1" t="n">
        <v>43775</v>
      </c>
      <c r="C1917" s="1" t="n">
        <v>45210</v>
      </c>
      <c r="D1917" t="inlineStr">
        <is>
          <t>DALARNAS LÄN</t>
        </is>
      </c>
      <c r="E1917" t="inlineStr">
        <is>
          <t>FALUN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59180-2019</t>
        </is>
      </c>
      <c r="B1918" s="1" t="n">
        <v>43775</v>
      </c>
      <c r="C1918" s="1" t="n">
        <v>45210</v>
      </c>
      <c r="D1918" t="inlineStr">
        <is>
          <t>DALARNAS LÄN</t>
        </is>
      </c>
      <c r="E1918" t="inlineStr">
        <is>
          <t>SÄTER</t>
        </is>
      </c>
      <c r="F1918" t="inlineStr">
        <is>
          <t>Bergvik skog väst AB</t>
        </is>
      </c>
      <c r="G1918" t="n">
        <v>4</v>
      </c>
      <c r="H1918" t="n">
        <v>0</v>
      </c>
      <c r="I1918" t="n">
        <v>0</v>
      </c>
      <c r="J1918" t="n">
        <v>0</v>
      </c>
      <c r="K1918" t="n">
        <v>0</v>
      </c>
      <c r="L1918" t="n">
        <v>0</v>
      </c>
      <c r="M1918" t="n">
        <v>0</v>
      </c>
      <c r="N1918" t="n">
        <v>0</v>
      </c>
      <c r="O1918" t="n">
        <v>0</v>
      </c>
      <c r="P1918" t="n">
        <v>0</v>
      </c>
      <c r="Q1918" t="n">
        <v>0</v>
      </c>
      <c r="R1918" s="2" t="inlineStr"/>
    </row>
    <row r="1919" ht="15" customHeight="1">
      <c r="A1919" t="inlineStr">
        <is>
          <t>A 59199-2019</t>
        </is>
      </c>
      <c r="B1919" s="1" t="n">
        <v>43775</v>
      </c>
      <c r="C1919" s="1" t="n">
        <v>45210</v>
      </c>
      <c r="D1919" t="inlineStr">
        <is>
          <t>DALARNAS LÄN</t>
        </is>
      </c>
      <c r="E1919" t="inlineStr">
        <is>
          <t>SÄTER</t>
        </is>
      </c>
      <c r="F1919" t="inlineStr">
        <is>
          <t>Bergvik skog väst AB</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59241-2019</t>
        </is>
      </c>
      <c r="B1920" s="1" t="n">
        <v>43775</v>
      </c>
      <c r="C1920" s="1" t="n">
        <v>45210</v>
      </c>
      <c r="D1920" t="inlineStr">
        <is>
          <t>DALARNAS LÄN</t>
        </is>
      </c>
      <c r="E1920" t="inlineStr">
        <is>
          <t>SÄTER</t>
        </is>
      </c>
      <c r="F1920" t="inlineStr">
        <is>
          <t>Bergvik skog väst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59189-2019</t>
        </is>
      </c>
      <c r="B1921" s="1" t="n">
        <v>43775</v>
      </c>
      <c r="C1921" s="1" t="n">
        <v>45210</v>
      </c>
      <c r="D1921" t="inlineStr">
        <is>
          <t>DALARNAS LÄN</t>
        </is>
      </c>
      <c r="E1921" t="inlineStr">
        <is>
          <t>SÄTER</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59267-2019</t>
        </is>
      </c>
      <c r="B1922" s="1" t="n">
        <v>43775</v>
      </c>
      <c r="C1922" s="1" t="n">
        <v>45210</v>
      </c>
      <c r="D1922" t="inlineStr">
        <is>
          <t>DALARNAS LÄN</t>
        </is>
      </c>
      <c r="E1922" t="inlineStr">
        <is>
          <t>SMEDJEBACKEN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59229-2019</t>
        </is>
      </c>
      <c r="B1923" s="1" t="n">
        <v>43775</v>
      </c>
      <c r="C1923" s="1" t="n">
        <v>45210</v>
      </c>
      <c r="D1923" t="inlineStr">
        <is>
          <t>DALARNAS LÄN</t>
        </is>
      </c>
      <c r="E1923" t="inlineStr">
        <is>
          <t>FALUN</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59816-2019</t>
        </is>
      </c>
      <c r="B1924" s="1" t="n">
        <v>43775</v>
      </c>
      <c r="C1924" s="1" t="n">
        <v>45210</v>
      </c>
      <c r="D1924" t="inlineStr">
        <is>
          <t>DALARNAS LÄN</t>
        </is>
      </c>
      <c r="E1924" t="inlineStr">
        <is>
          <t>RÄTTVIK</t>
        </is>
      </c>
      <c r="G1924" t="n">
        <v>4</v>
      </c>
      <c r="H1924" t="n">
        <v>0</v>
      </c>
      <c r="I1924" t="n">
        <v>0</v>
      </c>
      <c r="J1924" t="n">
        <v>0</v>
      </c>
      <c r="K1924" t="n">
        <v>0</v>
      </c>
      <c r="L1924" t="n">
        <v>0</v>
      </c>
      <c r="M1924" t="n">
        <v>0</v>
      </c>
      <c r="N1924" t="n">
        <v>0</v>
      </c>
      <c r="O1924" t="n">
        <v>0</v>
      </c>
      <c r="P1924" t="n">
        <v>0</v>
      </c>
      <c r="Q1924" t="n">
        <v>0</v>
      </c>
      <c r="R1924" s="2" t="inlineStr"/>
    </row>
    <row r="1925" ht="15" customHeight="1">
      <c r="A1925" t="inlineStr">
        <is>
          <t>A 59721-2019</t>
        </is>
      </c>
      <c r="B1925" s="1" t="n">
        <v>43776</v>
      </c>
      <c r="C1925" s="1" t="n">
        <v>45210</v>
      </c>
      <c r="D1925" t="inlineStr">
        <is>
          <t>DALARNAS LÄN</t>
        </is>
      </c>
      <c r="E1925" t="inlineStr">
        <is>
          <t>LEKSAND</t>
        </is>
      </c>
      <c r="F1925" t="inlineStr">
        <is>
          <t>Bergvik skog väst AB</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60474-2019</t>
        </is>
      </c>
      <c r="B1926" s="1" t="n">
        <v>43776</v>
      </c>
      <c r="C1926" s="1" t="n">
        <v>45210</v>
      </c>
      <c r="D1926" t="inlineStr">
        <is>
          <t>DALARNAS LÄN</t>
        </is>
      </c>
      <c r="E1926" t="inlineStr">
        <is>
          <t>RÄTTVIK</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60578-2019</t>
        </is>
      </c>
      <c r="B1927" s="1" t="n">
        <v>43776</v>
      </c>
      <c r="C1927" s="1" t="n">
        <v>45210</v>
      </c>
      <c r="D1927" t="inlineStr">
        <is>
          <t>DALARNAS LÄN</t>
        </is>
      </c>
      <c r="E1927" t="inlineStr">
        <is>
          <t>RÄTTVIK</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59488-2019</t>
        </is>
      </c>
      <c r="B1928" s="1" t="n">
        <v>43776</v>
      </c>
      <c r="C1928" s="1" t="n">
        <v>45210</v>
      </c>
      <c r="D1928" t="inlineStr">
        <is>
          <t>DALARNAS LÄN</t>
        </is>
      </c>
      <c r="E1928" t="inlineStr">
        <is>
          <t>ÄLVDALEN</t>
        </is>
      </c>
      <c r="F1928" t="inlineStr">
        <is>
          <t>Bergvik skog väst AB</t>
        </is>
      </c>
      <c r="G1928" t="n">
        <v>7.2</v>
      </c>
      <c r="H1928" t="n">
        <v>0</v>
      </c>
      <c r="I1928" t="n">
        <v>0</v>
      </c>
      <c r="J1928" t="n">
        <v>0</v>
      </c>
      <c r="K1928" t="n">
        <v>0</v>
      </c>
      <c r="L1928" t="n">
        <v>0</v>
      </c>
      <c r="M1928" t="n">
        <v>0</v>
      </c>
      <c r="N1928" t="n">
        <v>0</v>
      </c>
      <c r="O1928" t="n">
        <v>0</v>
      </c>
      <c r="P1928" t="n">
        <v>0</v>
      </c>
      <c r="Q1928" t="n">
        <v>0</v>
      </c>
      <c r="R1928" s="2" t="inlineStr"/>
    </row>
    <row r="1929" ht="15" customHeight="1">
      <c r="A1929" t="inlineStr">
        <is>
          <t>A 60473-2019</t>
        </is>
      </c>
      <c r="B1929" s="1" t="n">
        <v>43776</v>
      </c>
      <c r="C1929" s="1" t="n">
        <v>45210</v>
      </c>
      <c r="D1929" t="inlineStr">
        <is>
          <t>DALARNAS LÄN</t>
        </is>
      </c>
      <c r="E1929" t="inlineStr">
        <is>
          <t>RÄTTVIK</t>
        </is>
      </c>
      <c r="G1929" t="n">
        <v>4.7</v>
      </c>
      <c r="H1929" t="n">
        <v>0</v>
      </c>
      <c r="I1929" t="n">
        <v>0</v>
      </c>
      <c r="J1929" t="n">
        <v>0</v>
      </c>
      <c r="K1929" t="n">
        <v>0</v>
      </c>
      <c r="L1929" t="n">
        <v>0</v>
      </c>
      <c r="M1929" t="n">
        <v>0</v>
      </c>
      <c r="N1929" t="n">
        <v>0</v>
      </c>
      <c r="O1929" t="n">
        <v>0</v>
      </c>
      <c r="P1929" t="n">
        <v>0</v>
      </c>
      <c r="Q1929" t="n">
        <v>0</v>
      </c>
      <c r="R1929" s="2" t="inlineStr"/>
    </row>
    <row r="1930" ht="15" customHeight="1">
      <c r="A1930" t="inlineStr">
        <is>
          <t>A 60575-2019</t>
        </is>
      </c>
      <c r="B1930" s="1" t="n">
        <v>43776</v>
      </c>
      <c r="C1930" s="1" t="n">
        <v>45210</v>
      </c>
      <c r="D1930" t="inlineStr">
        <is>
          <t>DALARNAS LÄN</t>
        </is>
      </c>
      <c r="E1930" t="inlineStr">
        <is>
          <t>RÄTTVIK</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59714-2019</t>
        </is>
      </c>
      <c r="B1931" s="1" t="n">
        <v>43776</v>
      </c>
      <c r="C1931" s="1" t="n">
        <v>45210</v>
      </c>
      <c r="D1931" t="inlineStr">
        <is>
          <t>DALARNAS LÄN</t>
        </is>
      </c>
      <c r="E1931" t="inlineStr">
        <is>
          <t>LEKSAND</t>
        </is>
      </c>
      <c r="F1931" t="inlineStr">
        <is>
          <t>Bergvik skog väst AB</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59959-2019</t>
        </is>
      </c>
      <c r="B1932" s="1" t="n">
        <v>43777</v>
      </c>
      <c r="C1932" s="1" t="n">
        <v>45210</v>
      </c>
      <c r="D1932" t="inlineStr">
        <is>
          <t>DALARNAS LÄN</t>
        </is>
      </c>
      <c r="E1932" t="inlineStr">
        <is>
          <t>ÄLVDALEN</t>
        </is>
      </c>
      <c r="F1932" t="inlineStr">
        <is>
          <t>Allmännings- och besparingsskogar</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59831-2019</t>
        </is>
      </c>
      <c r="B1933" s="1" t="n">
        <v>43777</v>
      </c>
      <c r="C1933" s="1" t="n">
        <v>45210</v>
      </c>
      <c r="D1933" t="inlineStr">
        <is>
          <t>DALARNAS LÄN</t>
        </is>
      </c>
      <c r="E1933" t="inlineStr">
        <is>
          <t>FALUN</t>
        </is>
      </c>
      <c r="F1933" t="inlineStr">
        <is>
          <t>Bergvik skog väst AB</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59850-2019</t>
        </is>
      </c>
      <c r="B1934" s="1" t="n">
        <v>43777</v>
      </c>
      <c r="C1934" s="1" t="n">
        <v>45210</v>
      </c>
      <c r="D1934" t="inlineStr">
        <is>
          <t>DALARNAS LÄN</t>
        </is>
      </c>
      <c r="E1934" t="inlineStr">
        <is>
          <t>FALUN</t>
        </is>
      </c>
      <c r="F1934" t="inlineStr">
        <is>
          <t>Bergvik skog väst AB</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59846-2019</t>
        </is>
      </c>
      <c r="B1935" s="1" t="n">
        <v>43777</v>
      </c>
      <c r="C1935" s="1" t="n">
        <v>45210</v>
      </c>
      <c r="D1935" t="inlineStr">
        <is>
          <t>DALARNAS LÄN</t>
        </is>
      </c>
      <c r="E1935" t="inlineStr">
        <is>
          <t>ÄLVDALEN</t>
        </is>
      </c>
      <c r="G1935" t="n">
        <v>3.4</v>
      </c>
      <c r="H1935" t="n">
        <v>0</v>
      </c>
      <c r="I1935" t="n">
        <v>0</v>
      </c>
      <c r="J1935" t="n">
        <v>0</v>
      </c>
      <c r="K1935" t="n">
        <v>0</v>
      </c>
      <c r="L1935" t="n">
        <v>0</v>
      </c>
      <c r="M1935" t="n">
        <v>0</v>
      </c>
      <c r="N1935" t="n">
        <v>0</v>
      </c>
      <c r="O1935" t="n">
        <v>0</v>
      </c>
      <c r="P1935" t="n">
        <v>0</v>
      </c>
      <c r="Q1935" t="n">
        <v>0</v>
      </c>
      <c r="R1935" s="2" t="inlineStr"/>
    </row>
    <row r="1936" ht="15" customHeight="1">
      <c r="A1936" t="inlineStr">
        <is>
          <t>A 59947-2019</t>
        </is>
      </c>
      <c r="B1936" s="1" t="n">
        <v>43777</v>
      </c>
      <c r="C1936" s="1" t="n">
        <v>45210</v>
      </c>
      <c r="D1936" t="inlineStr">
        <is>
          <t>DALARNAS LÄN</t>
        </is>
      </c>
      <c r="E1936" t="inlineStr">
        <is>
          <t>ÄLVDALEN</t>
        </is>
      </c>
      <c r="G1936" t="n">
        <v>3.6</v>
      </c>
      <c r="H1936" t="n">
        <v>0</v>
      </c>
      <c r="I1936" t="n">
        <v>0</v>
      </c>
      <c r="J1936" t="n">
        <v>0</v>
      </c>
      <c r="K1936" t="n">
        <v>0</v>
      </c>
      <c r="L1936" t="n">
        <v>0</v>
      </c>
      <c r="M1936" t="n">
        <v>0</v>
      </c>
      <c r="N1936" t="n">
        <v>0</v>
      </c>
      <c r="O1936" t="n">
        <v>0</v>
      </c>
      <c r="P1936" t="n">
        <v>0</v>
      </c>
      <c r="Q1936" t="n">
        <v>0</v>
      </c>
      <c r="R1936" s="2" t="inlineStr"/>
    </row>
    <row r="1937" ht="15" customHeight="1">
      <c r="A1937" t="inlineStr">
        <is>
          <t>A 59957-2019</t>
        </is>
      </c>
      <c r="B1937" s="1" t="n">
        <v>43777</v>
      </c>
      <c r="C1937" s="1" t="n">
        <v>45210</v>
      </c>
      <c r="D1937" t="inlineStr">
        <is>
          <t>DALARNAS LÄN</t>
        </is>
      </c>
      <c r="E1937" t="inlineStr">
        <is>
          <t>ÄLVDALEN</t>
        </is>
      </c>
      <c r="G1937" t="n">
        <v>4.5</v>
      </c>
      <c r="H1937" t="n">
        <v>0</v>
      </c>
      <c r="I1937" t="n">
        <v>0</v>
      </c>
      <c r="J1937" t="n">
        <v>0</v>
      </c>
      <c r="K1937" t="n">
        <v>0</v>
      </c>
      <c r="L1937" t="n">
        <v>0</v>
      </c>
      <c r="M1937" t="n">
        <v>0</v>
      </c>
      <c r="N1937" t="n">
        <v>0</v>
      </c>
      <c r="O1937" t="n">
        <v>0</v>
      </c>
      <c r="P1937" t="n">
        <v>0</v>
      </c>
      <c r="Q1937" t="n">
        <v>0</v>
      </c>
      <c r="R1937" s="2" t="inlineStr"/>
    </row>
    <row r="1938" ht="15" customHeight="1">
      <c r="A1938" t="inlineStr">
        <is>
          <t>A 60095-2019</t>
        </is>
      </c>
      <c r="B1938" s="1" t="n">
        <v>43777</v>
      </c>
      <c r="C1938" s="1" t="n">
        <v>45210</v>
      </c>
      <c r="D1938" t="inlineStr">
        <is>
          <t>DALARNAS LÄN</t>
        </is>
      </c>
      <c r="E1938" t="inlineStr">
        <is>
          <t>SMEDJEBACKEN</t>
        </is>
      </c>
      <c r="F1938" t="inlineStr">
        <is>
          <t>Bergvik skog väst AB</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60148-2019</t>
        </is>
      </c>
      <c r="B1939" s="1" t="n">
        <v>43779</v>
      </c>
      <c r="C1939" s="1" t="n">
        <v>45210</v>
      </c>
      <c r="D1939" t="inlineStr">
        <is>
          <t>DALARNAS LÄN</t>
        </is>
      </c>
      <c r="E1939" t="inlineStr">
        <is>
          <t>SMEDJEBACKEN</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60217-2019</t>
        </is>
      </c>
      <c r="B1940" s="1" t="n">
        <v>43780</v>
      </c>
      <c r="C1940" s="1" t="n">
        <v>45210</v>
      </c>
      <c r="D1940" t="inlineStr">
        <is>
          <t>DALARNAS LÄN</t>
        </is>
      </c>
      <c r="E1940" t="inlineStr">
        <is>
          <t>AVESTA</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60266-2019</t>
        </is>
      </c>
      <c r="B1941" s="1" t="n">
        <v>43780</v>
      </c>
      <c r="C1941" s="1" t="n">
        <v>45210</v>
      </c>
      <c r="D1941" t="inlineStr">
        <is>
          <t>DALARNAS LÄN</t>
        </is>
      </c>
      <c r="E1941" t="inlineStr">
        <is>
          <t>VANSBRO</t>
        </is>
      </c>
      <c r="F1941" t="inlineStr">
        <is>
          <t>Bergvik skog väst AB</t>
        </is>
      </c>
      <c r="G1941" t="n">
        <v>9.199999999999999</v>
      </c>
      <c r="H1941" t="n">
        <v>0</v>
      </c>
      <c r="I1941" t="n">
        <v>0</v>
      </c>
      <c r="J1941" t="n">
        <v>0</v>
      </c>
      <c r="K1941" t="n">
        <v>0</v>
      </c>
      <c r="L1941" t="n">
        <v>0</v>
      </c>
      <c r="M1941" t="n">
        <v>0</v>
      </c>
      <c r="N1941" t="n">
        <v>0</v>
      </c>
      <c r="O1941" t="n">
        <v>0</v>
      </c>
      <c r="P1941" t="n">
        <v>0</v>
      </c>
      <c r="Q1941" t="n">
        <v>0</v>
      </c>
      <c r="R1941" s="2" t="inlineStr"/>
    </row>
    <row r="1942" ht="15" customHeight="1">
      <c r="A1942" t="inlineStr">
        <is>
          <t>A 60345-2019</t>
        </is>
      </c>
      <c r="B1942" s="1" t="n">
        <v>43780</v>
      </c>
      <c r="C1942" s="1" t="n">
        <v>45210</v>
      </c>
      <c r="D1942" t="inlineStr">
        <is>
          <t>DALARNAS LÄN</t>
        </is>
      </c>
      <c r="E1942" t="inlineStr">
        <is>
          <t>ÄLVDALEN</t>
        </is>
      </c>
      <c r="G1942" t="n">
        <v>8.300000000000001</v>
      </c>
      <c r="H1942" t="n">
        <v>0</v>
      </c>
      <c r="I1942" t="n">
        <v>0</v>
      </c>
      <c r="J1942" t="n">
        <v>0</v>
      </c>
      <c r="K1942" t="n">
        <v>0</v>
      </c>
      <c r="L1942" t="n">
        <v>0</v>
      </c>
      <c r="M1942" t="n">
        <v>0</v>
      </c>
      <c r="N1942" t="n">
        <v>0</v>
      </c>
      <c r="O1942" t="n">
        <v>0</v>
      </c>
      <c r="P1942" t="n">
        <v>0</v>
      </c>
      <c r="Q1942" t="n">
        <v>0</v>
      </c>
      <c r="R1942" s="2" t="inlineStr"/>
    </row>
    <row r="1943" ht="15" customHeight="1">
      <c r="A1943" t="inlineStr">
        <is>
          <t>A 60422-2019</t>
        </is>
      </c>
      <c r="B1943" s="1" t="n">
        <v>43780</v>
      </c>
      <c r="C1943" s="1" t="n">
        <v>45210</v>
      </c>
      <c r="D1943" t="inlineStr">
        <is>
          <t>DALARNAS LÄN</t>
        </is>
      </c>
      <c r="E1943" t="inlineStr">
        <is>
          <t>FALUN</t>
        </is>
      </c>
      <c r="F1943" t="inlineStr">
        <is>
          <t>Sveaskog</t>
        </is>
      </c>
      <c r="G1943" t="n">
        <v>0.5</v>
      </c>
      <c r="H1943" t="n">
        <v>0</v>
      </c>
      <c r="I1943" t="n">
        <v>0</v>
      </c>
      <c r="J1943" t="n">
        <v>0</v>
      </c>
      <c r="K1943" t="n">
        <v>0</v>
      </c>
      <c r="L1943" t="n">
        <v>0</v>
      </c>
      <c r="M1943" t="n">
        <v>0</v>
      </c>
      <c r="N1943" t="n">
        <v>0</v>
      </c>
      <c r="O1943" t="n">
        <v>0</v>
      </c>
      <c r="P1943" t="n">
        <v>0</v>
      </c>
      <c r="Q1943" t="n">
        <v>0</v>
      </c>
      <c r="R1943" s="2" t="inlineStr"/>
    </row>
    <row r="1944" ht="15" customHeight="1">
      <c r="A1944" t="inlineStr">
        <is>
          <t>A 60221-2019</t>
        </is>
      </c>
      <c r="B1944" s="1" t="n">
        <v>43780</v>
      </c>
      <c r="C1944" s="1" t="n">
        <v>45210</v>
      </c>
      <c r="D1944" t="inlineStr">
        <is>
          <t>DALARNAS LÄN</t>
        </is>
      </c>
      <c r="E1944" t="inlineStr">
        <is>
          <t>LUDVIKA</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60280-2019</t>
        </is>
      </c>
      <c r="B1945" s="1" t="n">
        <v>43780</v>
      </c>
      <c r="C1945" s="1" t="n">
        <v>45210</v>
      </c>
      <c r="D1945" t="inlineStr">
        <is>
          <t>DALARNAS LÄN</t>
        </is>
      </c>
      <c r="E1945" t="inlineStr">
        <is>
          <t>AVESTA</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60318-2019</t>
        </is>
      </c>
      <c r="B1946" s="1" t="n">
        <v>43780</v>
      </c>
      <c r="C1946" s="1" t="n">
        <v>45210</v>
      </c>
      <c r="D1946" t="inlineStr">
        <is>
          <t>DALARNAS LÄN</t>
        </is>
      </c>
      <c r="E1946" t="inlineStr">
        <is>
          <t>HEDEMORA</t>
        </is>
      </c>
      <c r="F1946" t="inlineStr">
        <is>
          <t>Bergvik skog väst AB</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61112-2019</t>
        </is>
      </c>
      <c r="B1947" s="1" t="n">
        <v>43780</v>
      </c>
      <c r="C1947" s="1" t="n">
        <v>45210</v>
      </c>
      <c r="D1947" t="inlineStr">
        <is>
          <t>DALARNAS LÄN</t>
        </is>
      </c>
      <c r="E1947" t="inlineStr">
        <is>
          <t>RÄTTVIK</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60414-2019</t>
        </is>
      </c>
      <c r="B1948" s="1" t="n">
        <v>43780</v>
      </c>
      <c r="C1948" s="1" t="n">
        <v>45210</v>
      </c>
      <c r="D1948" t="inlineStr">
        <is>
          <t>DALARNAS LÄN</t>
        </is>
      </c>
      <c r="E1948" t="inlineStr">
        <is>
          <t>AVESTA</t>
        </is>
      </c>
      <c r="F1948" t="inlineStr">
        <is>
          <t>Sveaskog</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60809-2019</t>
        </is>
      </c>
      <c r="B1949" s="1" t="n">
        <v>43780</v>
      </c>
      <c r="C1949" s="1" t="n">
        <v>45210</v>
      </c>
      <c r="D1949" t="inlineStr">
        <is>
          <t>DALARNAS LÄN</t>
        </is>
      </c>
      <c r="E1949" t="inlineStr">
        <is>
          <t>LEKSAND</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61115-2019</t>
        </is>
      </c>
      <c r="B1950" s="1" t="n">
        <v>43780</v>
      </c>
      <c r="C1950" s="1" t="n">
        <v>45210</v>
      </c>
      <c r="D1950" t="inlineStr">
        <is>
          <t>DALARNAS LÄN</t>
        </is>
      </c>
      <c r="E1950" t="inlineStr">
        <is>
          <t>RÄTTVIK</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60201-2019</t>
        </is>
      </c>
      <c r="B1951" s="1" t="n">
        <v>43780</v>
      </c>
      <c r="C1951" s="1" t="n">
        <v>45210</v>
      </c>
      <c r="D1951" t="inlineStr">
        <is>
          <t>DALARNAS LÄN</t>
        </is>
      </c>
      <c r="E1951" t="inlineStr">
        <is>
          <t>AVESTA</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60304-2019</t>
        </is>
      </c>
      <c r="B1952" s="1" t="n">
        <v>43780</v>
      </c>
      <c r="C1952" s="1" t="n">
        <v>45210</v>
      </c>
      <c r="D1952" t="inlineStr">
        <is>
          <t>DALARNAS LÄN</t>
        </is>
      </c>
      <c r="E1952" t="inlineStr">
        <is>
          <t>AVESTA</t>
        </is>
      </c>
      <c r="F1952" t="inlineStr">
        <is>
          <t>Sveaskog</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60421-2019</t>
        </is>
      </c>
      <c r="B1953" s="1" t="n">
        <v>43780</v>
      </c>
      <c r="C1953" s="1" t="n">
        <v>45210</v>
      </c>
      <c r="D1953" t="inlineStr">
        <is>
          <t>DALARNAS LÄN</t>
        </is>
      </c>
      <c r="E1953" t="inlineStr">
        <is>
          <t>SMEDJEBACKEN</t>
        </is>
      </c>
      <c r="G1953" t="n">
        <v>3.1</v>
      </c>
      <c r="H1953" t="n">
        <v>0</v>
      </c>
      <c r="I1953" t="n">
        <v>0</v>
      </c>
      <c r="J1953" t="n">
        <v>0</v>
      </c>
      <c r="K1953" t="n">
        <v>0</v>
      </c>
      <c r="L1953" t="n">
        <v>0</v>
      </c>
      <c r="M1953" t="n">
        <v>0</v>
      </c>
      <c r="N1953" t="n">
        <v>0</v>
      </c>
      <c r="O1953" t="n">
        <v>0</v>
      </c>
      <c r="P1953" t="n">
        <v>0</v>
      </c>
      <c r="Q1953" t="n">
        <v>0</v>
      </c>
      <c r="R1953" s="2" t="inlineStr"/>
    </row>
    <row r="1954" ht="15" customHeight="1">
      <c r="A1954" t="inlineStr">
        <is>
          <t>A 60467-2019</t>
        </is>
      </c>
      <c r="B1954" s="1" t="n">
        <v>43780</v>
      </c>
      <c r="C1954" s="1" t="n">
        <v>45210</v>
      </c>
      <c r="D1954" t="inlineStr">
        <is>
          <t>DALARNAS LÄN</t>
        </is>
      </c>
      <c r="E1954" t="inlineStr">
        <is>
          <t>RÄTTVIK</t>
        </is>
      </c>
      <c r="F1954" t="inlineStr">
        <is>
          <t>Övriga statliga verk och myndigheter</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60937-2019</t>
        </is>
      </c>
      <c r="B1955" s="1" t="n">
        <v>43780</v>
      </c>
      <c r="C1955" s="1" t="n">
        <v>45210</v>
      </c>
      <c r="D1955" t="inlineStr">
        <is>
          <t>DALARNAS LÄN</t>
        </is>
      </c>
      <c r="E1955" t="inlineStr">
        <is>
          <t>SÄTER</t>
        </is>
      </c>
      <c r="F1955" t="inlineStr">
        <is>
          <t>Bergvik skog väst AB</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61117-2019</t>
        </is>
      </c>
      <c r="B1956" s="1" t="n">
        <v>43780</v>
      </c>
      <c r="C1956" s="1" t="n">
        <v>45210</v>
      </c>
      <c r="D1956" t="inlineStr">
        <is>
          <t>DALARNAS LÄN</t>
        </is>
      </c>
      <c r="E1956" t="inlineStr">
        <is>
          <t>RÄTTVIK</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60804-2019</t>
        </is>
      </c>
      <c r="B1957" s="1" t="n">
        <v>43781</v>
      </c>
      <c r="C1957" s="1" t="n">
        <v>45210</v>
      </c>
      <c r="D1957" t="inlineStr">
        <is>
          <t>DALARNAS LÄN</t>
        </is>
      </c>
      <c r="E1957" t="inlineStr">
        <is>
          <t>SÄTER</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60529-2019</t>
        </is>
      </c>
      <c r="B1958" s="1" t="n">
        <v>43781</v>
      </c>
      <c r="C1958" s="1" t="n">
        <v>45210</v>
      </c>
      <c r="D1958" t="inlineStr">
        <is>
          <t>DALARNAS LÄN</t>
        </is>
      </c>
      <c r="E1958" t="inlineStr">
        <is>
          <t>HEDEMORA</t>
        </is>
      </c>
      <c r="F1958" t="inlineStr">
        <is>
          <t>Sveaskog</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60556-2019</t>
        </is>
      </c>
      <c r="B1959" s="1" t="n">
        <v>43781</v>
      </c>
      <c r="C1959" s="1" t="n">
        <v>45210</v>
      </c>
      <c r="D1959" t="inlineStr">
        <is>
          <t>DALARNAS LÄN</t>
        </is>
      </c>
      <c r="E1959" t="inlineStr">
        <is>
          <t>HEDEMORA</t>
        </is>
      </c>
      <c r="F1959" t="inlineStr">
        <is>
          <t>Sveaskog</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60629-2019</t>
        </is>
      </c>
      <c r="B1960" s="1" t="n">
        <v>43781</v>
      </c>
      <c r="C1960" s="1" t="n">
        <v>45210</v>
      </c>
      <c r="D1960" t="inlineStr">
        <is>
          <t>DALARNAS LÄN</t>
        </is>
      </c>
      <c r="E1960" t="inlineStr">
        <is>
          <t>GAGNEF</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60810-2019</t>
        </is>
      </c>
      <c r="B1961" s="1" t="n">
        <v>43781</v>
      </c>
      <c r="C1961" s="1" t="n">
        <v>45210</v>
      </c>
      <c r="D1961" t="inlineStr">
        <is>
          <t>DALARNAS LÄN</t>
        </is>
      </c>
      <c r="E1961" t="inlineStr">
        <is>
          <t>SÄTER</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60532-2019</t>
        </is>
      </c>
      <c r="B1962" s="1" t="n">
        <v>43781</v>
      </c>
      <c r="C1962" s="1" t="n">
        <v>45210</v>
      </c>
      <c r="D1962" t="inlineStr">
        <is>
          <t>DALARNAS LÄN</t>
        </is>
      </c>
      <c r="E1962" t="inlineStr">
        <is>
          <t>VANSBRO</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61027-2019</t>
        </is>
      </c>
      <c r="B1963" s="1" t="n">
        <v>43782</v>
      </c>
      <c r="C1963" s="1" t="n">
        <v>45210</v>
      </c>
      <c r="D1963" t="inlineStr">
        <is>
          <t>DALARNAS LÄN</t>
        </is>
      </c>
      <c r="E1963" t="inlineStr">
        <is>
          <t>LUDVIKA</t>
        </is>
      </c>
      <c r="F1963" t="inlineStr">
        <is>
          <t>Bergvik skog väst AB</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61113-2019</t>
        </is>
      </c>
      <c r="B1964" s="1" t="n">
        <v>43782</v>
      </c>
      <c r="C1964" s="1" t="n">
        <v>45210</v>
      </c>
      <c r="D1964" t="inlineStr">
        <is>
          <t>DALARNAS LÄN</t>
        </is>
      </c>
      <c r="E1964" t="inlineStr">
        <is>
          <t>LEKSAND</t>
        </is>
      </c>
      <c r="F1964" t="inlineStr">
        <is>
          <t>Bergvik skog väst AB</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61100-2019</t>
        </is>
      </c>
      <c r="B1965" s="1" t="n">
        <v>43782</v>
      </c>
      <c r="C1965" s="1" t="n">
        <v>45210</v>
      </c>
      <c r="D1965" t="inlineStr">
        <is>
          <t>DALARNAS LÄN</t>
        </is>
      </c>
      <c r="E1965" t="inlineStr">
        <is>
          <t>MALUNG-SÄLEN</t>
        </is>
      </c>
      <c r="F1965" t="inlineStr">
        <is>
          <t>Bergvik skog väst AB</t>
        </is>
      </c>
      <c r="G1965" t="n">
        <v>13.7</v>
      </c>
      <c r="H1965" t="n">
        <v>0</v>
      </c>
      <c r="I1965" t="n">
        <v>0</v>
      </c>
      <c r="J1965" t="n">
        <v>0</v>
      </c>
      <c r="K1965" t="n">
        <v>0</v>
      </c>
      <c r="L1965" t="n">
        <v>0</v>
      </c>
      <c r="M1965" t="n">
        <v>0</v>
      </c>
      <c r="N1965" t="n">
        <v>0</v>
      </c>
      <c r="O1965" t="n">
        <v>0</v>
      </c>
      <c r="P1965" t="n">
        <v>0</v>
      </c>
      <c r="Q1965" t="n">
        <v>0</v>
      </c>
      <c r="R1965" s="2" t="inlineStr"/>
    </row>
    <row r="1966" ht="15" customHeight="1">
      <c r="A1966" t="inlineStr">
        <is>
          <t>A 62120-2019</t>
        </is>
      </c>
      <c r="B1966" s="1" t="n">
        <v>43782</v>
      </c>
      <c r="C1966" s="1" t="n">
        <v>45210</v>
      </c>
      <c r="D1966" t="inlineStr">
        <is>
          <t>DALARNAS LÄN</t>
        </is>
      </c>
      <c r="E1966" t="inlineStr">
        <is>
          <t>AVESTA</t>
        </is>
      </c>
      <c r="G1966" t="n">
        <v>4.6</v>
      </c>
      <c r="H1966" t="n">
        <v>0</v>
      </c>
      <c r="I1966" t="n">
        <v>0</v>
      </c>
      <c r="J1966" t="n">
        <v>0</v>
      </c>
      <c r="K1966" t="n">
        <v>0</v>
      </c>
      <c r="L1966" t="n">
        <v>0</v>
      </c>
      <c r="M1966" t="n">
        <v>0</v>
      </c>
      <c r="N1966" t="n">
        <v>0</v>
      </c>
      <c r="O1966" t="n">
        <v>0</v>
      </c>
      <c r="P1966" t="n">
        <v>0</v>
      </c>
      <c r="Q1966" t="n">
        <v>0</v>
      </c>
      <c r="R1966" s="2" t="inlineStr"/>
    </row>
    <row r="1967" ht="15" customHeight="1">
      <c r="A1967" t="inlineStr">
        <is>
          <t>A 60957-2019</t>
        </is>
      </c>
      <c r="B1967" s="1" t="n">
        <v>43782</v>
      </c>
      <c r="C1967" s="1" t="n">
        <v>45210</v>
      </c>
      <c r="D1967" t="inlineStr">
        <is>
          <t>DALARNAS LÄN</t>
        </is>
      </c>
      <c r="E1967" t="inlineStr">
        <is>
          <t>MALUNG-SÄLEN</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61077-2019</t>
        </is>
      </c>
      <c r="B1968" s="1" t="n">
        <v>43782</v>
      </c>
      <c r="C1968" s="1" t="n">
        <v>45210</v>
      </c>
      <c r="D1968" t="inlineStr">
        <is>
          <t>DALARNAS LÄN</t>
        </is>
      </c>
      <c r="E1968" t="inlineStr">
        <is>
          <t>MORA</t>
        </is>
      </c>
      <c r="F1968" t="inlineStr">
        <is>
          <t>Bergvik skog öst AB</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61235-2019</t>
        </is>
      </c>
      <c r="B1969" s="1" t="n">
        <v>43783</v>
      </c>
      <c r="C1969" s="1" t="n">
        <v>45210</v>
      </c>
      <c r="D1969" t="inlineStr">
        <is>
          <t>DALARNAS LÄN</t>
        </is>
      </c>
      <c r="E1969" t="inlineStr">
        <is>
          <t>ÄLVDALEN</t>
        </is>
      </c>
      <c r="F1969" t="inlineStr">
        <is>
          <t>Bergvik skog väst AB</t>
        </is>
      </c>
      <c r="G1969" t="n">
        <v>9</v>
      </c>
      <c r="H1969" t="n">
        <v>0</v>
      </c>
      <c r="I1969" t="n">
        <v>0</v>
      </c>
      <c r="J1969" t="n">
        <v>0</v>
      </c>
      <c r="K1969" t="n">
        <v>0</v>
      </c>
      <c r="L1969" t="n">
        <v>0</v>
      </c>
      <c r="M1969" t="n">
        <v>0</v>
      </c>
      <c r="N1969" t="n">
        <v>0</v>
      </c>
      <c r="O1969" t="n">
        <v>0</v>
      </c>
      <c r="P1969" t="n">
        <v>0</v>
      </c>
      <c r="Q1969" t="n">
        <v>0</v>
      </c>
      <c r="R1969" s="2" t="inlineStr"/>
    </row>
    <row r="1970" ht="15" customHeight="1">
      <c r="A1970" t="inlineStr">
        <is>
          <t>A 61312-2019</t>
        </is>
      </c>
      <c r="B1970" s="1" t="n">
        <v>43783</v>
      </c>
      <c r="C1970" s="1" t="n">
        <v>45210</v>
      </c>
      <c r="D1970" t="inlineStr">
        <is>
          <t>DALARNAS LÄN</t>
        </is>
      </c>
      <c r="E1970" t="inlineStr">
        <is>
          <t>ÄLVDALEN</t>
        </is>
      </c>
      <c r="F1970" t="inlineStr">
        <is>
          <t>Bergvik skog väst AB</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61227-2019</t>
        </is>
      </c>
      <c r="B1971" s="1" t="n">
        <v>43783</v>
      </c>
      <c r="C1971" s="1" t="n">
        <v>45210</v>
      </c>
      <c r="D1971" t="inlineStr">
        <is>
          <t>DALARNAS LÄN</t>
        </is>
      </c>
      <c r="E1971" t="inlineStr">
        <is>
          <t>FALUN</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61257-2019</t>
        </is>
      </c>
      <c r="B1972" s="1" t="n">
        <v>43783</v>
      </c>
      <c r="C1972" s="1" t="n">
        <v>45210</v>
      </c>
      <c r="D1972" t="inlineStr">
        <is>
          <t>DALARNAS LÄN</t>
        </is>
      </c>
      <c r="E1972" t="inlineStr">
        <is>
          <t>RÄTTVIK</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61288-2019</t>
        </is>
      </c>
      <c r="B1973" s="1" t="n">
        <v>43783</v>
      </c>
      <c r="C1973" s="1" t="n">
        <v>45210</v>
      </c>
      <c r="D1973" t="inlineStr">
        <is>
          <t>DALARNAS LÄN</t>
        </is>
      </c>
      <c r="E1973" t="inlineStr">
        <is>
          <t>BORLÄNGE</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61382-2019</t>
        </is>
      </c>
      <c r="B1974" s="1" t="n">
        <v>43783</v>
      </c>
      <c r="C1974" s="1" t="n">
        <v>45210</v>
      </c>
      <c r="D1974" t="inlineStr">
        <is>
          <t>DALARNAS LÄN</t>
        </is>
      </c>
      <c r="E1974" t="inlineStr">
        <is>
          <t>HEDEMORA</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61262-2019</t>
        </is>
      </c>
      <c r="B1975" s="1" t="n">
        <v>43783</v>
      </c>
      <c r="C1975" s="1" t="n">
        <v>45210</v>
      </c>
      <c r="D1975" t="inlineStr">
        <is>
          <t>DALARNAS LÄN</t>
        </is>
      </c>
      <c r="E1975" t="inlineStr">
        <is>
          <t>ÄLVDALEN</t>
        </is>
      </c>
      <c r="F1975" t="inlineStr">
        <is>
          <t>Bergvik skog väst AB</t>
        </is>
      </c>
      <c r="G1975" t="n">
        <v>12.9</v>
      </c>
      <c r="H1975" t="n">
        <v>0</v>
      </c>
      <c r="I1975" t="n">
        <v>0</v>
      </c>
      <c r="J1975" t="n">
        <v>0</v>
      </c>
      <c r="K1975" t="n">
        <v>0</v>
      </c>
      <c r="L1975" t="n">
        <v>0</v>
      </c>
      <c r="M1975" t="n">
        <v>0</v>
      </c>
      <c r="N1975" t="n">
        <v>0</v>
      </c>
      <c r="O1975" t="n">
        <v>0</v>
      </c>
      <c r="P1975" t="n">
        <v>0</v>
      </c>
      <c r="Q1975" t="n">
        <v>0</v>
      </c>
      <c r="R1975" s="2" t="inlineStr"/>
    </row>
    <row r="1976" ht="15" customHeight="1">
      <c r="A1976" t="inlineStr">
        <is>
          <t>A 61280-2019</t>
        </is>
      </c>
      <c r="B1976" s="1" t="n">
        <v>43783</v>
      </c>
      <c r="C1976" s="1" t="n">
        <v>45210</v>
      </c>
      <c r="D1976" t="inlineStr">
        <is>
          <t>DALARNAS LÄN</t>
        </is>
      </c>
      <c r="E1976" t="inlineStr">
        <is>
          <t>MALUNG-SÄLEN</t>
        </is>
      </c>
      <c r="G1976" t="n">
        <v>4.4</v>
      </c>
      <c r="H1976" t="n">
        <v>0</v>
      </c>
      <c r="I1976" t="n">
        <v>0</v>
      </c>
      <c r="J1976" t="n">
        <v>0</v>
      </c>
      <c r="K1976" t="n">
        <v>0</v>
      </c>
      <c r="L1976" t="n">
        <v>0</v>
      </c>
      <c r="M1976" t="n">
        <v>0</v>
      </c>
      <c r="N1976" t="n">
        <v>0</v>
      </c>
      <c r="O1976" t="n">
        <v>0</v>
      </c>
      <c r="P1976" t="n">
        <v>0</v>
      </c>
      <c r="Q1976" t="n">
        <v>0</v>
      </c>
      <c r="R1976" s="2" t="inlineStr"/>
    </row>
    <row r="1977" ht="15" customHeight="1">
      <c r="A1977" t="inlineStr">
        <is>
          <t>A 61303-2019</t>
        </is>
      </c>
      <c r="B1977" s="1" t="n">
        <v>43783</v>
      </c>
      <c r="C1977" s="1" t="n">
        <v>45210</v>
      </c>
      <c r="D1977" t="inlineStr">
        <is>
          <t>DALARNAS LÄN</t>
        </is>
      </c>
      <c r="E1977" t="inlineStr">
        <is>
          <t>ÄLVDALEN</t>
        </is>
      </c>
      <c r="F1977" t="inlineStr">
        <is>
          <t>Allmännings- och besparingsskogar</t>
        </is>
      </c>
      <c r="G1977" t="n">
        <v>0.2</v>
      </c>
      <c r="H1977" t="n">
        <v>0</v>
      </c>
      <c r="I1977" t="n">
        <v>0</v>
      </c>
      <c r="J1977" t="n">
        <v>0</v>
      </c>
      <c r="K1977" t="n">
        <v>0</v>
      </c>
      <c r="L1977" t="n">
        <v>0</v>
      </c>
      <c r="M1977" t="n">
        <v>0</v>
      </c>
      <c r="N1977" t="n">
        <v>0</v>
      </c>
      <c r="O1977" t="n">
        <v>0</v>
      </c>
      <c r="P1977" t="n">
        <v>0</v>
      </c>
      <c r="Q1977" t="n">
        <v>0</v>
      </c>
      <c r="R1977" s="2" t="inlineStr"/>
    </row>
    <row r="1978" ht="15" customHeight="1">
      <c r="A1978" t="inlineStr">
        <is>
          <t>A 61324-2019</t>
        </is>
      </c>
      <c r="B1978" s="1" t="n">
        <v>43783</v>
      </c>
      <c r="C1978" s="1" t="n">
        <v>45210</v>
      </c>
      <c r="D1978" t="inlineStr">
        <is>
          <t>DALARNAS LÄN</t>
        </is>
      </c>
      <c r="E1978" t="inlineStr">
        <is>
          <t>MORA</t>
        </is>
      </c>
      <c r="F1978" t="inlineStr">
        <is>
          <t>Bergvik skog väst AB</t>
        </is>
      </c>
      <c r="G1978" t="n">
        <v>5.9</v>
      </c>
      <c r="H1978" t="n">
        <v>0</v>
      </c>
      <c r="I1978" t="n">
        <v>0</v>
      </c>
      <c r="J1978" t="n">
        <v>0</v>
      </c>
      <c r="K1978" t="n">
        <v>0</v>
      </c>
      <c r="L1978" t="n">
        <v>0</v>
      </c>
      <c r="M1978" t="n">
        <v>0</v>
      </c>
      <c r="N1978" t="n">
        <v>0</v>
      </c>
      <c r="O1978" t="n">
        <v>0</v>
      </c>
      <c r="P1978" t="n">
        <v>0</v>
      </c>
      <c r="Q1978" t="n">
        <v>0</v>
      </c>
      <c r="R1978" s="2" t="inlineStr"/>
    </row>
    <row r="1979" ht="15" customHeight="1">
      <c r="A1979" t="inlineStr">
        <is>
          <t>A 61646-2019</t>
        </is>
      </c>
      <c r="B1979" s="1" t="n">
        <v>43784</v>
      </c>
      <c r="C1979" s="1" t="n">
        <v>45210</v>
      </c>
      <c r="D1979" t="inlineStr">
        <is>
          <t>DALARNAS LÄN</t>
        </is>
      </c>
      <c r="E1979" t="inlineStr">
        <is>
          <t>MORA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61673-2019</t>
        </is>
      </c>
      <c r="B1980" s="1" t="n">
        <v>43784</v>
      </c>
      <c r="C1980" s="1" t="n">
        <v>45210</v>
      </c>
      <c r="D1980" t="inlineStr">
        <is>
          <t>DALARNAS LÄN</t>
        </is>
      </c>
      <c r="E1980" t="inlineStr">
        <is>
          <t>FALUN</t>
        </is>
      </c>
      <c r="G1980" t="n">
        <v>7.7</v>
      </c>
      <c r="H1980" t="n">
        <v>0</v>
      </c>
      <c r="I1980" t="n">
        <v>0</v>
      </c>
      <c r="J1980" t="n">
        <v>0</v>
      </c>
      <c r="K1980" t="n">
        <v>0</v>
      </c>
      <c r="L1980" t="n">
        <v>0</v>
      </c>
      <c r="M1980" t="n">
        <v>0</v>
      </c>
      <c r="N1980" t="n">
        <v>0</v>
      </c>
      <c r="O1980" t="n">
        <v>0</v>
      </c>
      <c r="P1980" t="n">
        <v>0</v>
      </c>
      <c r="Q1980" t="n">
        <v>0</v>
      </c>
      <c r="R1980" s="2" t="inlineStr"/>
    </row>
    <row r="1981" ht="15" customHeight="1">
      <c r="A1981" t="inlineStr">
        <is>
          <t>A 62807-2019</t>
        </is>
      </c>
      <c r="B1981" s="1" t="n">
        <v>43784</v>
      </c>
      <c r="C1981" s="1" t="n">
        <v>45210</v>
      </c>
      <c r="D1981" t="inlineStr">
        <is>
          <t>DALARNAS LÄN</t>
        </is>
      </c>
      <c r="E1981" t="inlineStr">
        <is>
          <t>RÄTTVIK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62738-2019</t>
        </is>
      </c>
      <c r="B1982" s="1" t="n">
        <v>43786</v>
      </c>
      <c r="C1982" s="1" t="n">
        <v>45210</v>
      </c>
      <c r="D1982" t="inlineStr">
        <is>
          <t>DALARNAS LÄN</t>
        </is>
      </c>
      <c r="E1982" t="inlineStr">
        <is>
          <t>RÄTTVIK</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63333-2019</t>
        </is>
      </c>
      <c r="B1983" s="1" t="n">
        <v>43787</v>
      </c>
      <c r="C1983" s="1" t="n">
        <v>45210</v>
      </c>
      <c r="D1983" t="inlineStr">
        <is>
          <t>DALARNAS LÄN</t>
        </is>
      </c>
      <c r="E1983" t="inlineStr">
        <is>
          <t>MALUNG-SÄLEN</t>
        </is>
      </c>
      <c r="F1983" t="inlineStr">
        <is>
          <t>Allmännings- och besparingsskogar</t>
        </is>
      </c>
      <c r="G1983" t="n">
        <v>34.6</v>
      </c>
      <c r="H1983" t="n">
        <v>0</v>
      </c>
      <c r="I1983" t="n">
        <v>0</v>
      </c>
      <c r="J1983" t="n">
        <v>0</v>
      </c>
      <c r="K1983" t="n">
        <v>0</v>
      </c>
      <c r="L1983" t="n">
        <v>0</v>
      </c>
      <c r="M1983" t="n">
        <v>0</v>
      </c>
      <c r="N1983" t="n">
        <v>0</v>
      </c>
      <c r="O1983" t="n">
        <v>0</v>
      </c>
      <c r="P1983" t="n">
        <v>0</v>
      </c>
      <c r="Q1983" t="n">
        <v>0</v>
      </c>
      <c r="R1983" s="2" t="inlineStr"/>
    </row>
    <row r="1984" ht="15" customHeight="1">
      <c r="A1984" t="inlineStr">
        <is>
          <t>A 62001-2019</t>
        </is>
      </c>
      <c r="B1984" s="1" t="n">
        <v>43787</v>
      </c>
      <c r="C1984" s="1" t="n">
        <v>45210</v>
      </c>
      <c r="D1984" t="inlineStr">
        <is>
          <t>DALARNAS LÄN</t>
        </is>
      </c>
      <c r="E1984" t="inlineStr">
        <is>
          <t>MORA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62307-2019</t>
        </is>
      </c>
      <c r="B1985" s="1" t="n">
        <v>43788</v>
      </c>
      <c r="C1985" s="1" t="n">
        <v>45210</v>
      </c>
      <c r="D1985" t="inlineStr">
        <is>
          <t>DALARNAS LÄN</t>
        </is>
      </c>
      <c r="E1985" t="inlineStr">
        <is>
          <t>GAGNEF</t>
        </is>
      </c>
      <c r="F1985" t="inlineStr">
        <is>
          <t>Bergvik skog väst AB</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62419-2019</t>
        </is>
      </c>
      <c r="B1986" s="1" t="n">
        <v>43788</v>
      </c>
      <c r="C1986" s="1" t="n">
        <v>45210</v>
      </c>
      <c r="D1986" t="inlineStr">
        <is>
          <t>DALARNAS LÄN</t>
        </is>
      </c>
      <c r="E1986" t="inlineStr">
        <is>
          <t>VANSBRO</t>
        </is>
      </c>
      <c r="F1986" t="inlineStr">
        <is>
          <t>Kyrkan</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62450-2019</t>
        </is>
      </c>
      <c r="B1987" s="1" t="n">
        <v>43788</v>
      </c>
      <c r="C1987" s="1" t="n">
        <v>45210</v>
      </c>
      <c r="D1987" t="inlineStr">
        <is>
          <t>DALARNAS LÄN</t>
        </is>
      </c>
      <c r="E1987" t="inlineStr">
        <is>
          <t>VANSBRO</t>
        </is>
      </c>
      <c r="F1987" t="inlineStr">
        <is>
          <t>Bergvik skog väst AB</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62312-2019</t>
        </is>
      </c>
      <c r="B1988" s="1" t="n">
        <v>43788</v>
      </c>
      <c r="C1988" s="1" t="n">
        <v>45210</v>
      </c>
      <c r="D1988" t="inlineStr">
        <is>
          <t>DALARNAS LÄN</t>
        </is>
      </c>
      <c r="E1988" t="inlineStr">
        <is>
          <t>MALUNG-SÄLEN</t>
        </is>
      </c>
      <c r="F1988" t="inlineStr">
        <is>
          <t>Bergvik skog öst AB</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62247-2019</t>
        </is>
      </c>
      <c r="B1989" s="1" t="n">
        <v>43788</v>
      </c>
      <c r="C1989" s="1" t="n">
        <v>45210</v>
      </c>
      <c r="D1989" t="inlineStr">
        <is>
          <t>DALARNAS LÄN</t>
        </is>
      </c>
      <c r="E1989" t="inlineStr">
        <is>
          <t>MALUNG-SÄLEN</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62356-2019</t>
        </is>
      </c>
      <c r="B1990" s="1" t="n">
        <v>43788</v>
      </c>
      <c r="C1990" s="1" t="n">
        <v>45210</v>
      </c>
      <c r="D1990" t="inlineStr">
        <is>
          <t>DALARNAS LÄN</t>
        </is>
      </c>
      <c r="E1990" t="inlineStr">
        <is>
          <t>LUDVIKA</t>
        </is>
      </c>
      <c r="F1990" t="inlineStr">
        <is>
          <t>Bergvik skog väst AB</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62691-2019</t>
        </is>
      </c>
      <c r="B1991" s="1" t="n">
        <v>43789</v>
      </c>
      <c r="C1991" s="1" t="n">
        <v>45210</v>
      </c>
      <c r="D1991" t="inlineStr">
        <is>
          <t>DALARNAS LÄN</t>
        </is>
      </c>
      <c r="E1991" t="inlineStr">
        <is>
          <t>ÄLVDALEN</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62537-2019</t>
        </is>
      </c>
      <c r="B1992" s="1" t="n">
        <v>43789</v>
      </c>
      <c r="C1992" s="1" t="n">
        <v>45210</v>
      </c>
      <c r="D1992" t="inlineStr">
        <is>
          <t>DALARNAS LÄN</t>
        </is>
      </c>
      <c r="E1992" t="inlineStr">
        <is>
          <t>VANSBRO</t>
        </is>
      </c>
      <c r="F1992" t="inlineStr">
        <is>
          <t>Bergvik skog väst AB</t>
        </is>
      </c>
      <c r="G1992" t="n">
        <v>6.6</v>
      </c>
      <c r="H1992" t="n">
        <v>0</v>
      </c>
      <c r="I1992" t="n">
        <v>0</v>
      </c>
      <c r="J1992" t="n">
        <v>0</v>
      </c>
      <c r="K1992" t="n">
        <v>0</v>
      </c>
      <c r="L1992" t="n">
        <v>0</v>
      </c>
      <c r="M1992" t="n">
        <v>0</v>
      </c>
      <c r="N1992" t="n">
        <v>0</v>
      </c>
      <c r="O1992" t="n">
        <v>0</v>
      </c>
      <c r="P1992" t="n">
        <v>0</v>
      </c>
      <c r="Q1992" t="n">
        <v>0</v>
      </c>
      <c r="R1992" s="2" t="inlineStr"/>
    </row>
    <row r="1993" ht="15" customHeight="1">
      <c r="A1993" t="inlineStr">
        <is>
          <t>A 62630-2019</t>
        </is>
      </c>
      <c r="B1993" s="1" t="n">
        <v>43789</v>
      </c>
      <c r="C1993" s="1" t="n">
        <v>45210</v>
      </c>
      <c r="D1993" t="inlineStr">
        <is>
          <t>DALARNAS LÄN</t>
        </is>
      </c>
      <c r="E1993" t="inlineStr">
        <is>
          <t>ÄLVDALEN</t>
        </is>
      </c>
      <c r="G1993" t="n">
        <v>7.2</v>
      </c>
      <c r="H1993" t="n">
        <v>0</v>
      </c>
      <c r="I1993" t="n">
        <v>0</v>
      </c>
      <c r="J1993" t="n">
        <v>0</v>
      </c>
      <c r="K1993" t="n">
        <v>0</v>
      </c>
      <c r="L1993" t="n">
        <v>0</v>
      </c>
      <c r="M1993" t="n">
        <v>0</v>
      </c>
      <c r="N1993" t="n">
        <v>0</v>
      </c>
      <c r="O1993" t="n">
        <v>0</v>
      </c>
      <c r="P1993" t="n">
        <v>0</v>
      </c>
      <c r="Q1993" t="n">
        <v>0</v>
      </c>
      <c r="R1993" s="2" t="inlineStr"/>
    </row>
    <row r="1994" ht="15" customHeight="1">
      <c r="A1994" t="inlineStr">
        <is>
          <t>A 62913-2019</t>
        </is>
      </c>
      <c r="B1994" s="1" t="n">
        <v>43790</v>
      </c>
      <c r="C1994" s="1" t="n">
        <v>45210</v>
      </c>
      <c r="D1994" t="inlineStr">
        <is>
          <t>DALARNAS LÄN</t>
        </is>
      </c>
      <c r="E1994" t="inlineStr">
        <is>
          <t>VANSBRO</t>
        </is>
      </c>
      <c r="F1994" t="inlineStr">
        <is>
          <t>Bergvik skog väst AB</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62818-2019</t>
        </is>
      </c>
      <c r="B1995" s="1" t="n">
        <v>43790</v>
      </c>
      <c r="C1995" s="1" t="n">
        <v>45210</v>
      </c>
      <c r="D1995" t="inlineStr">
        <is>
          <t>DALARNAS LÄN</t>
        </is>
      </c>
      <c r="E1995" t="inlineStr">
        <is>
          <t>AVESTA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63101-2019</t>
        </is>
      </c>
      <c r="B1996" s="1" t="n">
        <v>43791</v>
      </c>
      <c r="C1996" s="1" t="n">
        <v>45210</v>
      </c>
      <c r="D1996" t="inlineStr">
        <is>
          <t>DALARNAS LÄN</t>
        </is>
      </c>
      <c r="E1996" t="inlineStr">
        <is>
          <t>HEDEMORA</t>
        </is>
      </c>
      <c r="F1996" t="inlineStr">
        <is>
          <t>Kommuner</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63149-2019</t>
        </is>
      </c>
      <c r="B1997" s="1" t="n">
        <v>43791</v>
      </c>
      <c r="C1997" s="1" t="n">
        <v>45210</v>
      </c>
      <c r="D1997" t="inlineStr">
        <is>
          <t>DALARNAS LÄN</t>
        </is>
      </c>
      <c r="E1997" t="inlineStr">
        <is>
          <t>LUDVIKA</t>
        </is>
      </c>
      <c r="F1997" t="inlineStr">
        <is>
          <t>Bergvik skog väst AB</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63072-2019</t>
        </is>
      </c>
      <c r="B1998" s="1" t="n">
        <v>43791</v>
      </c>
      <c r="C1998" s="1" t="n">
        <v>45210</v>
      </c>
      <c r="D1998" t="inlineStr">
        <is>
          <t>DALARNAS LÄN</t>
        </is>
      </c>
      <c r="E1998" t="inlineStr">
        <is>
          <t>MORA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63093-2019</t>
        </is>
      </c>
      <c r="B1999" s="1" t="n">
        <v>43791</v>
      </c>
      <c r="C1999" s="1" t="n">
        <v>45210</v>
      </c>
      <c r="D1999" t="inlineStr">
        <is>
          <t>DALARNAS LÄN</t>
        </is>
      </c>
      <c r="E1999" t="inlineStr">
        <is>
          <t>MORA</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63161-2019</t>
        </is>
      </c>
      <c r="B2000" s="1" t="n">
        <v>43791</v>
      </c>
      <c r="C2000" s="1" t="n">
        <v>45210</v>
      </c>
      <c r="D2000" t="inlineStr">
        <is>
          <t>DALARNAS LÄN</t>
        </is>
      </c>
      <c r="E2000" t="inlineStr">
        <is>
          <t>ÄLVDALEN</t>
        </is>
      </c>
      <c r="G2000" t="n">
        <v>2.6</v>
      </c>
      <c r="H2000" t="n">
        <v>0</v>
      </c>
      <c r="I2000" t="n">
        <v>0</v>
      </c>
      <c r="J2000" t="n">
        <v>0</v>
      </c>
      <c r="K2000" t="n">
        <v>0</v>
      </c>
      <c r="L2000" t="n">
        <v>0</v>
      </c>
      <c r="M2000" t="n">
        <v>0</v>
      </c>
      <c r="N2000" t="n">
        <v>0</v>
      </c>
      <c r="O2000" t="n">
        <v>0</v>
      </c>
      <c r="P2000" t="n">
        <v>0</v>
      </c>
      <c r="Q2000" t="n">
        <v>0</v>
      </c>
      <c r="R2000" s="2" t="inlineStr"/>
    </row>
    <row r="2001" ht="15" customHeight="1">
      <c r="A2001" t="inlineStr">
        <is>
          <t>A 63242-2019</t>
        </is>
      </c>
      <c r="B2001" s="1" t="n">
        <v>43792</v>
      </c>
      <c r="C2001" s="1" t="n">
        <v>45210</v>
      </c>
      <c r="D2001" t="inlineStr">
        <is>
          <t>DALARNAS LÄN</t>
        </is>
      </c>
      <c r="E2001" t="inlineStr">
        <is>
          <t>ÄLVDALEN</t>
        </is>
      </c>
      <c r="G2001" t="n">
        <v>2.1</v>
      </c>
      <c r="H2001" t="n">
        <v>0</v>
      </c>
      <c r="I2001" t="n">
        <v>0</v>
      </c>
      <c r="J2001" t="n">
        <v>0</v>
      </c>
      <c r="K2001" t="n">
        <v>0</v>
      </c>
      <c r="L2001" t="n">
        <v>0</v>
      </c>
      <c r="M2001" t="n">
        <v>0</v>
      </c>
      <c r="N2001" t="n">
        <v>0</v>
      </c>
      <c r="O2001" t="n">
        <v>0</v>
      </c>
      <c r="P2001" t="n">
        <v>0</v>
      </c>
      <c r="Q2001" t="n">
        <v>0</v>
      </c>
      <c r="R2001" s="2" t="inlineStr"/>
    </row>
    <row r="2002" ht="15" customHeight="1">
      <c r="A2002" t="inlineStr">
        <is>
          <t>A 63536-2019</t>
        </is>
      </c>
      <c r="B2002" s="1" t="n">
        <v>43794</v>
      </c>
      <c r="C2002" s="1" t="n">
        <v>45210</v>
      </c>
      <c r="D2002" t="inlineStr">
        <is>
          <t>DALARNAS LÄN</t>
        </is>
      </c>
      <c r="E2002" t="inlineStr">
        <is>
          <t>ÄLVDALEN</t>
        </is>
      </c>
      <c r="G2002" t="n">
        <v>10.5</v>
      </c>
      <c r="H2002" t="n">
        <v>0</v>
      </c>
      <c r="I2002" t="n">
        <v>0</v>
      </c>
      <c r="J2002" t="n">
        <v>0</v>
      </c>
      <c r="K2002" t="n">
        <v>0</v>
      </c>
      <c r="L2002" t="n">
        <v>0</v>
      </c>
      <c r="M2002" t="n">
        <v>0</v>
      </c>
      <c r="N2002" t="n">
        <v>0</v>
      </c>
      <c r="O2002" t="n">
        <v>0</v>
      </c>
      <c r="P2002" t="n">
        <v>0</v>
      </c>
      <c r="Q2002" t="n">
        <v>0</v>
      </c>
      <c r="R2002" s="2" t="inlineStr"/>
    </row>
    <row r="2003" ht="15" customHeight="1">
      <c r="A2003" t="inlineStr">
        <is>
          <t>A 64635-2019</t>
        </is>
      </c>
      <c r="B2003" s="1" t="n">
        <v>43794</v>
      </c>
      <c r="C2003" s="1" t="n">
        <v>45210</v>
      </c>
      <c r="D2003" t="inlineStr">
        <is>
          <t>DALARNAS LÄN</t>
        </is>
      </c>
      <c r="E2003" t="inlineStr">
        <is>
          <t>LEKSAND</t>
        </is>
      </c>
      <c r="G2003" t="n">
        <v>5.4</v>
      </c>
      <c r="H2003" t="n">
        <v>0</v>
      </c>
      <c r="I2003" t="n">
        <v>0</v>
      </c>
      <c r="J2003" t="n">
        <v>0</v>
      </c>
      <c r="K2003" t="n">
        <v>0</v>
      </c>
      <c r="L2003" t="n">
        <v>0</v>
      </c>
      <c r="M2003" t="n">
        <v>0</v>
      </c>
      <c r="N2003" t="n">
        <v>0</v>
      </c>
      <c r="O2003" t="n">
        <v>0</v>
      </c>
      <c r="P2003" t="n">
        <v>0</v>
      </c>
      <c r="Q2003" t="n">
        <v>0</v>
      </c>
      <c r="R2003" s="2" t="inlineStr"/>
    </row>
    <row r="2004" ht="15" customHeight="1">
      <c r="A2004" t="inlineStr">
        <is>
          <t>A 63470-2019</t>
        </is>
      </c>
      <c r="B2004" s="1" t="n">
        <v>43794</v>
      </c>
      <c r="C2004" s="1" t="n">
        <v>45210</v>
      </c>
      <c r="D2004" t="inlineStr">
        <is>
          <t>DALARNAS LÄN</t>
        </is>
      </c>
      <c r="E2004" t="inlineStr">
        <is>
          <t>ÄLVDALEN</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63787-2019</t>
        </is>
      </c>
      <c r="B2005" s="1" t="n">
        <v>43795</v>
      </c>
      <c r="C2005" s="1" t="n">
        <v>45210</v>
      </c>
      <c r="D2005" t="inlineStr">
        <is>
          <t>DALARNAS LÄN</t>
        </is>
      </c>
      <c r="E2005" t="inlineStr">
        <is>
          <t>ÄLVDALEN</t>
        </is>
      </c>
      <c r="F2005" t="inlineStr">
        <is>
          <t>Sveaskog</t>
        </is>
      </c>
      <c r="G2005" t="n">
        <v>14.1</v>
      </c>
      <c r="H2005" t="n">
        <v>0</v>
      </c>
      <c r="I2005" t="n">
        <v>0</v>
      </c>
      <c r="J2005" t="n">
        <v>0</v>
      </c>
      <c r="K2005" t="n">
        <v>0</v>
      </c>
      <c r="L2005" t="n">
        <v>0</v>
      </c>
      <c r="M2005" t="n">
        <v>0</v>
      </c>
      <c r="N2005" t="n">
        <v>0</v>
      </c>
      <c r="O2005" t="n">
        <v>0</v>
      </c>
      <c r="P2005" t="n">
        <v>0</v>
      </c>
      <c r="Q2005" t="n">
        <v>0</v>
      </c>
      <c r="R2005" s="2" t="inlineStr"/>
    </row>
    <row r="2006" ht="15" customHeight="1">
      <c r="A2006" t="inlineStr">
        <is>
          <t>A 63796-2019</t>
        </is>
      </c>
      <c r="B2006" s="1" t="n">
        <v>43795</v>
      </c>
      <c r="C2006" s="1" t="n">
        <v>45210</v>
      </c>
      <c r="D2006" t="inlineStr">
        <is>
          <t>DALARNAS LÄN</t>
        </is>
      </c>
      <c r="E2006" t="inlineStr">
        <is>
          <t>SMEDJEBACKEN</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63655-2019</t>
        </is>
      </c>
      <c r="B2007" s="1" t="n">
        <v>43795</v>
      </c>
      <c r="C2007" s="1" t="n">
        <v>45210</v>
      </c>
      <c r="D2007" t="inlineStr">
        <is>
          <t>DALARNAS LÄN</t>
        </is>
      </c>
      <c r="E2007" t="inlineStr">
        <is>
          <t>MORA</t>
        </is>
      </c>
      <c r="F2007" t="inlineStr">
        <is>
          <t>Bergvik skog väst AB</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63928-2019</t>
        </is>
      </c>
      <c r="B2008" s="1" t="n">
        <v>43796</v>
      </c>
      <c r="C2008" s="1" t="n">
        <v>45210</v>
      </c>
      <c r="D2008" t="inlineStr">
        <is>
          <t>DALARNAS LÄN</t>
        </is>
      </c>
      <c r="E2008" t="inlineStr">
        <is>
          <t>FALUN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64300-2019</t>
        </is>
      </c>
      <c r="B2009" s="1" t="n">
        <v>43797</v>
      </c>
      <c r="C2009" s="1" t="n">
        <v>45210</v>
      </c>
      <c r="D2009" t="inlineStr">
        <is>
          <t>DALARNAS LÄN</t>
        </is>
      </c>
      <c r="E2009" t="inlineStr">
        <is>
          <t>LUDVIKA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64389-2019</t>
        </is>
      </c>
      <c r="B2010" s="1" t="n">
        <v>43797</v>
      </c>
      <c r="C2010" s="1" t="n">
        <v>45210</v>
      </c>
      <c r="D2010" t="inlineStr">
        <is>
          <t>DALARNAS LÄN</t>
        </is>
      </c>
      <c r="E2010" t="inlineStr">
        <is>
          <t>ORSA</t>
        </is>
      </c>
      <c r="G2010" t="n">
        <v>0.3</v>
      </c>
      <c r="H2010" t="n">
        <v>0</v>
      </c>
      <c r="I2010" t="n">
        <v>0</v>
      </c>
      <c r="J2010" t="n">
        <v>0</v>
      </c>
      <c r="K2010" t="n">
        <v>0</v>
      </c>
      <c r="L2010" t="n">
        <v>0</v>
      </c>
      <c r="M2010" t="n">
        <v>0</v>
      </c>
      <c r="N2010" t="n">
        <v>0</v>
      </c>
      <c r="O2010" t="n">
        <v>0</v>
      </c>
      <c r="P2010" t="n">
        <v>0</v>
      </c>
      <c r="Q2010" t="n">
        <v>0</v>
      </c>
      <c r="R2010" s="2" t="inlineStr"/>
    </row>
    <row r="2011" ht="15" customHeight="1">
      <c r="A2011" t="inlineStr">
        <is>
          <t>A 65252-2019</t>
        </is>
      </c>
      <c r="B2011" s="1" t="n">
        <v>43797</v>
      </c>
      <c r="C2011" s="1" t="n">
        <v>45210</v>
      </c>
      <c r="D2011" t="inlineStr">
        <is>
          <t>DALARNAS LÄN</t>
        </is>
      </c>
      <c r="E2011" t="inlineStr">
        <is>
          <t>ORSA</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65199-2019</t>
        </is>
      </c>
      <c r="B2012" s="1" t="n">
        <v>43797</v>
      </c>
      <c r="C2012" s="1" t="n">
        <v>45210</v>
      </c>
      <c r="D2012" t="inlineStr">
        <is>
          <t>DALARNAS LÄN</t>
        </is>
      </c>
      <c r="E2012" t="inlineStr">
        <is>
          <t>RÄTTVIK</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64693-2019</t>
        </is>
      </c>
      <c r="B2013" s="1" t="n">
        <v>43798</v>
      </c>
      <c r="C2013" s="1" t="n">
        <v>45210</v>
      </c>
      <c r="D2013" t="inlineStr">
        <is>
          <t>DALARNAS LÄN</t>
        </is>
      </c>
      <c r="E2013" t="inlineStr">
        <is>
          <t>LUDVIKA</t>
        </is>
      </c>
      <c r="F2013" t="inlineStr">
        <is>
          <t>Bergvik skog väst AB</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64705-2019</t>
        </is>
      </c>
      <c r="B2014" s="1" t="n">
        <v>43798</v>
      </c>
      <c r="C2014" s="1" t="n">
        <v>45210</v>
      </c>
      <c r="D2014" t="inlineStr">
        <is>
          <t>DALARNAS LÄN</t>
        </is>
      </c>
      <c r="E2014" t="inlineStr">
        <is>
          <t>SMEDJEBACKEN</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64628-2019</t>
        </is>
      </c>
      <c r="B2015" s="1" t="n">
        <v>43798</v>
      </c>
      <c r="C2015" s="1" t="n">
        <v>45210</v>
      </c>
      <c r="D2015" t="inlineStr">
        <is>
          <t>DALARNAS LÄN</t>
        </is>
      </c>
      <c r="E2015" t="inlineStr">
        <is>
          <t>LUDVIKA</t>
        </is>
      </c>
      <c r="F2015" t="inlineStr">
        <is>
          <t>Bergvik skog väst AB</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64757-2019</t>
        </is>
      </c>
      <c r="B2016" s="1" t="n">
        <v>43801</v>
      </c>
      <c r="C2016" s="1" t="n">
        <v>45210</v>
      </c>
      <c r="D2016" t="inlineStr">
        <is>
          <t>DALARNAS LÄN</t>
        </is>
      </c>
      <c r="E2016" t="inlineStr">
        <is>
          <t>SÄTER</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64832-2019</t>
        </is>
      </c>
      <c r="B2017" s="1" t="n">
        <v>43801</v>
      </c>
      <c r="C2017" s="1" t="n">
        <v>45210</v>
      </c>
      <c r="D2017" t="inlineStr">
        <is>
          <t>DALARNAS LÄN</t>
        </is>
      </c>
      <c r="E2017" t="inlineStr">
        <is>
          <t>VANSBRO</t>
        </is>
      </c>
      <c r="F2017" t="inlineStr">
        <is>
          <t>Bergvik skog öst AB</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64906-2019</t>
        </is>
      </c>
      <c r="B2018" s="1" t="n">
        <v>43801</v>
      </c>
      <c r="C2018" s="1" t="n">
        <v>45210</v>
      </c>
      <c r="D2018" t="inlineStr">
        <is>
          <t>DALARNAS LÄN</t>
        </is>
      </c>
      <c r="E2018" t="inlineStr">
        <is>
          <t>FALUN</t>
        </is>
      </c>
      <c r="F2018" t="inlineStr">
        <is>
          <t>Bergvik skog väst AB</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64961-2019</t>
        </is>
      </c>
      <c r="B2019" s="1" t="n">
        <v>43801</v>
      </c>
      <c r="C2019" s="1" t="n">
        <v>45210</v>
      </c>
      <c r="D2019" t="inlineStr">
        <is>
          <t>DALARNAS LÄN</t>
        </is>
      </c>
      <c r="E2019" t="inlineStr">
        <is>
          <t>LUDVIKA</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66137-2019</t>
        </is>
      </c>
      <c r="B2020" s="1" t="n">
        <v>43801</v>
      </c>
      <c r="C2020" s="1" t="n">
        <v>45210</v>
      </c>
      <c r="D2020" t="inlineStr">
        <is>
          <t>DALARNAS LÄN</t>
        </is>
      </c>
      <c r="E2020" t="inlineStr">
        <is>
          <t>SÄTER</t>
        </is>
      </c>
      <c r="F2020" t="inlineStr">
        <is>
          <t>Bergvik skog väst AB</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65308-2019</t>
        </is>
      </c>
      <c r="B2021" s="1" t="n">
        <v>43802</v>
      </c>
      <c r="C2021" s="1" t="n">
        <v>45210</v>
      </c>
      <c r="D2021" t="inlineStr">
        <is>
          <t>DALARNAS LÄN</t>
        </is>
      </c>
      <c r="E2021" t="inlineStr">
        <is>
          <t>HEDEMORA</t>
        </is>
      </c>
      <c r="F2021" t="inlineStr">
        <is>
          <t>Sveaskog</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65090-2019</t>
        </is>
      </c>
      <c r="B2022" s="1" t="n">
        <v>43802</v>
      </c>
      <c r="C2022" s="1" t="n">
        <v>45210</v>
      </c>
      <c r="D2022" t="inlineStr">
        <is>
          <t>DALARNAS LÄN</t>
        </is>
      </c>
      <c r="E2022" t="inlineStr">
        <is>
          <t>MORA</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65315-2019</t>
        </is>
      </c>
      <c r="B2023" s="1" t="n">
        <v>43802</v>
      </c>
      <c r="C2023" s="1" t="n">
        <v>45210</v>
      </c>
      <c r="D2023" t="inlineStr">
        <is>
          <t>DALARNAS LÄN</t>
        </is>
      </c>
      <c r="E2023" t="inlineStr">
        <is>
          <t>HEDEMORA</t>
        </is>
      </c>
      <c r="F2023" t="inlineStr">
        <is>
          <t>Sveaskog</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65118-2019</t>
        </is>
      </c>
      <c r="B2024" s="1" t="n">
        <v>43802</v>
      </c>
      <c r="C2024" s="1" t="n">
        <v>45210</v>
      </c>
      <c r="D2024" t="inlineStr">
        <is>
          <t>DALARNAS LÄN</t>
        </is>
      </c>
      <c r="E2024" t="inlineStr">
        <is>
          <t>GAGNEF</t>
        </is>
      </c>
      <c r="G2024" t="n">
        <v>1.6</v>
      </c>
      <c r="H2024" t="n">
        <v>0</v>
      </c>
      <c r="I2024" t="n">
        <v>0</v>
      </c>
      <c r="J2024" t="n">
        <v>0</v>
      </c>
      <c r="K2024" t="n">
        <v>0</v>
      </c>
      <c r="L2024" t="n">
        <v>0</v>
      </c>
      <c r="M2024" t="n">
        <v>0</v>
      </c>
      <c r="N2024" t="n">
        <v>0</v>
      </c>
      <c r="O2024" t="n">
        <v>0</v>
      </c>
      <c r="P2024" t="n">
        <v>0</v>
      </c>
      <c r="Q2024" t="n">
        <v>0</v>
      </c>
      <c r="R2024" s="2" t="inlineStr"/>
    </row>
    <row r="2025" ht="15" customHeight="1">
      <c r="A2025" t="inlineStr">
        <is>
          <t>A 66563-2019</t>
        </is>
      </c>
      <c r="B2025" s="1" t="n">
        <v>43803</v>
      </c>
      <c r="C2025" s="1" t="n">
        <v>45210</v>
      </c>
      <c r="D2025" t="inlineStr">
        <is>
          <t>DALARNAS LÄN</t>
        </is>
      </c>
      <c r="E2025" t="inlineStr">
        <is>
          <t>BORLÄNGE</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65460-2019</t>
        </is>
      </c>
      <c r="B2026" s="1" t="n">
        <v>43803</v>
      </c>
      <c r="C2026" s="1" t="n">
        <v>45210</v>
      </c>
      <c r="D2026" t="inlineStr">
        <is>
          <t>DALARNAS LÄN</t>
        </is>
      </c>
      <c r="E2026" t="inlineStr">
        <is>
          <t>MORA</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66771-2019</t>
        </is>
      </c>
      <c r="B2027" s="1" t="n">
        <v>43804</v>
      </c>
      <c r="C2027" s="1" t="n">
        <v>45210</v>
      </c>
      <c r="D2027" t="inlineStr">
        <is>
          <t>DALARNAS LÄN</t>
        </is>
      </c>
      <c r="E2027" t="inlineStr">
        <is>
          <t>RÄTTVIK</t>
        </is>
      </c>
      <c r="F2027" t="inlineStr">
        <is>
          <t>Övriga statliga verk och myndigheter</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67049-2019</t>
        </is>
      </c>
      <c r="B2028" s="1" t="n">
        <v>43805</v>
      </c>
      <c r="C2028" s="1" t="n">
        <v>45210</v>
      </c>
      <c r="D2028" t="inlineStr">
        <is>
          <t>DALARNAS LÄN</t>
        </is>
      </c>
      <c r="E2028" t="inlineStr">
        <is>
          <t>RÄTTVIK</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67066-2019</t>
        </is>
      </c>
      <c r="B2029" s="1" t="n">
        <v>43805</v>
      </c>
      <c r="C2029" s="1" t="n">
        <v>45210</v>
      </c>
      <c r="D2029" t="inlineStr">
        <is>
          <t>DALARNAS LÄN</t>
        </is>
      </c>
      <c r="E2029" t="inlineStr">
        <is>
          <t>AVESTA</t>
        </is>
      </c>
      <c r="F2029" t="inlineStr">
        <is>
          <t>Bergvik skog väst AB</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65980-2019</t>
        </is>
      </c>
      <c r="B2030" s="1" t="n">
        <v>43805</v>
      </c>
      <c r="C2030" s="1" t="n">
        <v>45210</v>
      </c>
      <c r="D2030" t="inlineStr">
        <is>
          <t>DALARNAS LÄN</t>
        </is>
      </c>
      <c r="E2030" t="inlineStr">
        <is>
          <t>ÄLVDALEN</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67053-2019</t>
        </is>
      </c>
      <c r="B2031" s="1" t="n">
        <v>43805</v>
      </c>
      <c r="C2031" s="1" t="n">
        <v>45210</v>
      </c>
      <c r="D2031" t="inlineStr">
        <is>
          <t>DALARNAS LÄN</t>
        </is>
      </c>
      <c r="E2031" t="inlineStr">
        <is>
          <t>RÄTTVIK</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66159-2019</t>
        </is>
      </c>
      <c r="B2032" s="1" t="n">
        <v>43808</v>
      </c>
      <c r="C2032" s="1" t="n">
        <v>45210</v>
      </c>
      <c r="D2032" t="inlineStr">
        <is>
          <t>DALARNAS LÄN</t>
        </is>
      </c>
      <c r="E2032" t="inlineStr">
        <is>
          <t>BORLÄNGE</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66214-2019</t>
        </is>
      </c>
      <c r="B2033" s="1" t="n">
        <v>43808</v>
      </c>
      <c r="C2033" s="1" t="n">
        <v>45210</v>
      </c>
      <c r="D2033" t="inlineStr">
        <is>
          <t>DALARNAS LÄN</t>
        </is>
      </c>
      <c r="E2033" t="inlineStr">
        <is>
          <t>MORA</t>
        </is>
      </c>
      <c r="G2033" t="n">
        <v>5.8</v>
      </c>
      <c r="H2033" t="n">
        <v>0</v>
      </c>
      <c r="I2033" t="n">
        <v>0</v>
      </c>
      <c r="J2033" t="n">
        <v>0</v>
      </c>
      <c r="K2033" t="n">
        <v>0</v>
      </c>
      <c r="L2033" t="n">
        <v>0</v>
      </c>
      <c r="M2033" t="n">
        <v>0</v>
      </c>
      <c r="N2033" t="n">
        <v>0</v>
      </c>
      <c r="O2033" t="n">
        <v>0</v>
      </c>
      <c r="P2033" t="n">
        <v>0</v>
      </c>
      <c r="Q2033" t="n">
        <v>0</v>
      </c>
      <c r="R2033" s="2" t="inlineStr"/>
    </row>
    <row r="2034" ht="15" customHeight="1">
      <c r="A2034" t="inlineStr">
        <is>
          <t>A 66288-2019</t>
        </is>
      </c>
      <c r="B2034" s="1" t="n">
        <v>43808</v>
      </c>
      <c r="C2034" s="1" t="n">
        <v>45210</v>
      </c>
      <c r="D2034" t="inlineStr">
        <is>
          <t>DALARNAS LÄN</t>
        </is>
      </c>
      <c r="E2034" t="inlineStr">
        <is>
          <t>LEKSAND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66716-2019</t>
        </is>
      </c>
      <c r="B2035" s="1" t="n">
        <v>43809</v>
      </c>
      <c r="C2035" s="1" t="n">
        <v>45210</v>
      </c>
      <c r="D2035" t="inlineStr">
        <is>
          <t>DALARNAS LÄN</t>
        </is>
      </c>
      <c r="E2035" t="inlineStr">
        <is>
          <t>GAGNEF</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66873-2019</t>
        </is>
      </c>
      <c r="B2036" s="1" t="n">
        <v>43810</v>
      </c>
      <c r="C2036" s="1" t="n">
        <v>45210</v>
      </c>
      <c r="D2036" t="inlineStr">
        <is>
          <t>DALARNAS LÄN</t>
        </is>
      </c>
      <c r="E2036" t="inlineStr">
        <is>
          <t>MORA</t>
        </is>
      </c>
      <c r="F2036" t="inlineStr">
        <is>
          <t>Bergvik skog väst AB</t>
        </is>
      </c>
      <c r="G2036" t="n">
        <v>4.4</v>
      </c>
      <c r="H2036" t="n">
        <v>0</v>
      </c>
      <c r="I2036" t="n">
        <v>0</v>
      </c>
      <c r="J2036" t="n">
        <v>0</v>
      </c>
      <c r="K2036" t="n">
        <v>0</v>
      </c>
      <c r="L2036" t="n">
        <v>0</v>
      </c>
      <c r="M2036" t="n">
        <v>0</v>
      </c>
      <c r="N2036" t="n">
        <v>0</v>
      </c>
      <c r="O2036" t="n">
        <v>0</v>
      </c>
      <c r="P2036" t="n">
        <v>0</v>
      </c>
      <c r="Q2036" t="n">
        <v>0</v>
      </c>
      <c r="R2036" s="2" t="inlineStr"/>
    </row>
    <row r="2037" ht="15" customHeight="1">
      <c r="A2037" t="inlineStr">
        <is>
          <t>A 66721-2019</t>
        </is>
      </c>
      <c r="B2037" s="1" t="n">
        <v>43810</v>
      </c>
      <c r="C2037" s="1" t="n">
        <v>45210</v>
      </c>
      <c r="D2037" t="inlineStr">
        <is>
          <t>DALARNAS LÄN</t>
        </is>
      </c>
      <c r="E2037" t="inlineStr">
        <is>
          <t>AVESTA</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66862-2019</t>
        </is>
      </c>
      <c r="B2038" s="1" t="n">
        <v>43810</v>
      </c>
      <c r="C2038" s="1" t="n">
        <v>45210</v>
      </c>
      <c r="D2038" t="inlineStr">
        <is>
          <t>DALARNAS LÄN</t>
        </is>
      </c>
      <c r="E2038" t="inlineStr">
        <is>
          <t>ORSA</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66868-2019</t>
        </is>
      </c>
      <c r="B2039" s="1" t="n">
        <v>43810</v>
      </c>
      <c r="C2039" s="1" t="n">
        <v>45210</v>
      </c>
      <c r="D2039" t="inlineStr">
        <is>
          <t>DALARNAS LÄN</t>
        </is>
      </c>
      <c r="E2039" t="inlineStr">
        <is>
          <t>MORA</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66822-2019</t>
        </is>
      </c>
      <c r="B2040" s="1" t="n">
        <v>43810</v>
      </c>
      <c r="C2040" s="1" t="n">
        <v>45210</v>
      </c>
      <c r="D2040" t="inlineStr">
        <is>
          <t>DALARNAS LÄN</t>
        </is>
      </c>
      <c r="E2040" t="inlineStr">
        <is>
          <t>LEKSAND</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67884-2019</t>
        </is>
      </c>
      <c r="B2041" s="1" t="n">
        <v>43810</v>
      </c>
      <c r="C2041" s="1" t="n">
        <v>45210</v>
      </c>
      <c r="D2041" t="inlineStr">
        <is>
          <t>DALARNAS LÄN</t>
        </is>
      </c>
      <c r="E2041" t="inlineStr">
        <is>
          <t>ORSA</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67123-2019</t>
        </is>
      </c>
      <c r="B2042" s="1" t="n">
        <v>43811</v>
      </c>
      <c r="C2042" s="1" t="n">
        <v>45210</v>
      </c>
      <c r="D2042" t="inlineStr">
        <is>
          <t>DALARNAS LÄN</t>
        </is>
      </c>
      <c r="E2042" t="inlineStr">
        <is>
          <t>LEKSAND</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67295-2019</t>
        </is>
      </c>
      <c r="B2043" s="1" t="n">
        <v>43811</v>
      </c>
      <c r="C2043" s="1" t="n">
        <v>45210</v>
      </c>
      <c r="D2043" t="inlineStr">
        <is>
          <t>DALARNAS LÄN</t>
        </is>
      </c>
      <c r="E2043" t="inlineStr">
        <is>
          <t>ORSA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67986-2019</t>
        </is>
      </c>
      <c r="B2044" s="1" t="n">
        <v>43811</v>
      </c>
      <c r="C2044" s="1" t="n">
        <v>45210</v>
      </c>
      <c r="D2044" t="inlineStr">
        <is>
          <t>DALARNAS LÄN</t>
        </is>
      </c>
      <c r="E2044" t="inlineStr">
        <is>
          <t>MORA</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67948-2019</t>
        </is>
      </c>
      <c r="B2045" s="1" t="n">
        <v>43811</v>
      </c>
      <c r="C2045" s="1" t="n">
        <v>45210</v>
      </c>
      <c r="D2045" t="inlineStr">
        <is>
          <t>DALARNAS LÄN</t>
        </is>
      </c>
      <c r="E2045" t="inlineStr">
        <is>
          <t>GAGNEF</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67991-2019</t>
        </is>
      </c>
      <c r="B2046" s="1" t="n">
        <v>43811</v>
      </c>
      <c r="C2046" s="1" t="n">
        <v>45210</v>
      </c>
      <c r="D2046" t="inlineStr">
        <is>
          <t>DALARNAS LÄN</t>
        </is>
      </c>
      <c r="E2046" t="inlineStr">
        <is>
          <t>SMEDJEBACKEN</t>
        </is>
      </c>
      <c r="F2046" t="inlineStr">
        <is>
          <t>Bergvik skog väst AB</t>
        </is>
      </c>
      <c r="G2046" t="n">
        <v>13.9</v>
      </c>
      <c r="H2046" t="n">
        <v>0</v>
      </c>
      <c r="I2046" t="n">
        <v>0</v>
      </c>
      <c r="J2046" t="n">
        <v>0</v>
      </c>
      <c r="K2046" t="n">
        <v>0</v>
      </c>
      <c r="L2046" t="n">
        <v>0</v>
      </c>
      <c r="M2046" t="n">
        <v>0</v>
      </c>
      <c r="N2046" t="n">
        <v>0</v>
      </c>
      <c r="O2046" t="n">
        <v>0</v>
      </c>
      <c r="P2046" t="n">
        <v>0</v>
      </c>
      <c r="Q2046" t="n">
        <v>0</v>
      </c>
      <c r="R2046" s="2" t="inlineStr"/>
    </row>
    <row r="2047" ht="15" customHeight="1">
      <c r="A2047" t="inlineStr">
        <is>
          <t>A 67339-2019</t>
        </is>
      </c>
      <c r="B2047" s="1" t="n">
        <v>43812</v>
      </c>
      <c r="C2047" s="1" t="n">
        <v>45210</v>
      </c>
      <c r="D2047" t="inlineStr">
        <is>
          <t>DALARNAS LÄN</t>
        </is>
      </c>
      <c r="E2047" t="inlineStr">
        <is>
          <t>MALUNG-SÄLEN</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67308-2019</t>
        </is>
      </c>
      <c r="B2048" s="1" t="n">
        <v>43812</v>
      </c>
      <c r="C2048" s="1" t="n">
        <v>45210</v>
      </c>
      <c r="D2048" t="inlineStr">
        <is>
          <t>DALARNAS LÄN</t>
        </is>
      </c>
      <c r="E2048" t="inlineStr">
        <is>
          <t>RÄTTVIK</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67404-2019</t>
        </is>
      </c>
      <c r="B2049" s="1" t="n">
        <v>43812</v>
      </c>
      <c r="C2049" s="1" t="n">
        <v>45210</v>
      </c>
      <c r="D2049" t="inlineStr">
        <is>
          <t>DALARNAS LÄN</t>
        </is>
      </c>
      <c r="E2049" t="inlineStr">
        <is>
          <t>RÄTTVIK</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67435-2019</t>
        </is>
      </c>
      <c r="B2050" s="1" t="n">
        <v>43812</v>
      </c>
      <c r="C2050" s="1" t="n">
        <v>45210</v>
      </c>
      <c r="D2050" t="inlineStr">
        <is>
          <t>DALARNAS LÄN</t>
        </is>
      </c>
      <c r="E2050" t="inlineStr">
        <is>
          <t>BORLÄNGE</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67494-2019</t>
        </is>
      </c>
      <c r="B2051" s="1" t="n">
        <v>43815</v>
      </c>
      <c r="C2051" s="1" t="n">
        <v>45210</v>
      </c>
      <c r="D2051" t="inlineStr">
        <is>
          <t>DALARNAS LÄN</t>
        </is>
      </c>
      <c r="E2051" t="inlineStr">
        <is>
          <t>FALUN</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68806-2019</t>
        </is>
      </c>
      <c r="B2052" s="1" t="n">
        <v>43815</v>
      </c>
      <c r="C2052" s="1" t="n">
        <v>45210</v>
      </c>
      <c r="D2052" t="inlineStr">
        <is>
          <t>DALARNAS LÄN</t>
        </is>
      </c>
      <c r="E2052" t="inlineStr">
        <is>
          <t>RÄTTVIK</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67503-2019</t>
        </is>
      </c>
      <c r="B2053" s="1" t="n">
        <v>43815</v>
      </c>
      <c r="C2053" s="1" t="n">
        <v>45210</v>
      </c>
      <c r="D2053" t="inlineStr">
        <is>
          <t>DALARNAS LÄN</t>
        </is>
      </c>
      <c r="E2053" t="inlineStr">
        <is>
          <t>RÄTTVIK</t>
        </is>
      </c>
      <c r="G2053" t="n">
        <v>5.2</v>
      </c>
      <c r="H2053" t="n">
        <v>0</v>
      </c>
      <c r="I2053" t="n">
        <v>0</v>
      </c>
      <c r="J2053" t="n">
        <v>0</v>
      </c>
      <c r="K2053" t="n">
        <v>0</v>
      </c>
      <c r="L2053" t="n">
        <v>0</v>
      </c>
      <c r="M2053" t="n">
        <v>0</v>
      </c>
      <c r="N2053" t="n">
        <v>0</v>
      </c>
      <c r="O2053" t="n">
        <v>0</v>
      </c>
      <c r="P2053" t="n">
        <v>0</v>
      </c>
      <c r="Q2053" t="n">
        <v>0</v>
      </c>
      <c r="R2053" s="2" t="inlineStr"/>
    </row>
    <row r="2054" ht="15" customHeight="1">
      <c r="A2054" t="inlineStr">
        <is>
          <t>A 67625-2019</t>
        </is>
      </c>
      <c r="B2054" s="1" t="n">
        <v>43815</v>
      </c>
      <c r="C2054" s="1" t="n">
        <v>45210</v>
      </c>
      <c r="D2054" t="inlineStr">
        <is>
          <t>DALARNAS LÄN</t>
        </is>
      </c>
      <c r="E2054" t="inlineStr">
        <is>
          <t>SÄTER</t>
        </is>
      </c>
      <c r="F2054" t="inlineStr">
        <is>
          <t>Kommuner</t>
        </is>
      </c>
      <c r="G2054" t="n">
        <v>16.6</v>
      </c>
      <c r="H2054" t="n">
        <v>0</v>
      </c>
      <c r="I2054" t="n">
        <v>0</v>
      </c>
      <c r="J2054" t="n">
        <v>0</v>
      </c>
      <c r="K2054" t="n">
        <v>0</v>
      </c>
      <c r="L2054" t="n">
        <v>0</v>
      </c>
      <c r="M2054" t="n">
        <v>0</v>
      </c>
      <c r="N2054" t="n">
        <v>0</v>
      </c>
      <c r="O2054" t="n">
        <v>0</v>
      </c>
      <c r="P2054" t="n">
        <v>0</v>
      </c>
      <c r="Q2054" t="n">
        <v>0</v>
      </c>
      <c r="R2054" s="2" t="inlineStr"/>
    </row>
    <row r="2055" ht="15" customHeight="1">
      <c r="A2055" t="inlineStr">
        <is>
          <t>A 67633-2019</t>
        </is>
      </c>
      <c r="B2055" s="1" t="n">
        <v>43815</v>
      </c>
      <c r="C2055" s="1" t="n">
        <v>45210</v>
      </c>
      <c r="D2055" t="inlineStr">
        <is>
          <t>DALARNAS LÄN</t>
        </is>
      </c>
      <c r="E2055" t="inlineStr">
        <is>
          <t>MORA</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68808-2019</t>
        </is>
      </c>
      <c r="B2056" s="1" t="n">
        <v>43815</v>
      </c>
      <c r="C2056" s="1" t="n">
        <v>45210</v>
      </c>
      <c r="D2056" t="inlineStr">
        <is>
          <t>DALARNAS LÄN</t>
        </is>
      </c>
      <c r="E2056" t="inlineStr">
        <is>
          <t>LEKSAND</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67954-2019</t>
        </is>
      </c>
      <c r="B2057" s="1" t="n">
        <v>43816</v>
      </c>
      <c r="C2057" s="1" t="n">
        <v>45210</v>
      </c>
      <c r="D2057" t="inlineStr">
        <is>
          <t>DALARNAS LÄN</t>
        </is>
      </c>
      <c r="E2057" t="inlineStr">
        <is>
          <t>FALUN</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67878-2019</t>
        </is>
      </c>
      <c r="B2058" s="1" t="n">
        <v>43816</v>
      </c>
      <c r="C2058" s="1" t="n">
        <v>45210</v>
      </c>
      <c r="D2058" t="inlineStr">
        <is>
          <t>DALARNAS LÄN</t>
        </is>
      </c>
      <c r="E2058" t="inlineStr">
        <is>
          <t>ORSA</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67999-2019</t>
        </is>
      </c>
      <c r="B2059" s="1" t="n">
        <v>43816</v>
      </c>
      <c r="C2059" s="1" t="n">
        <v>45210</v>
      </c>
      <c r="D2059" t="inlineStr">
        <is>
          <t>DALARNAS LÄN</t>
        </is>
      </c>
      <c r="E2059" t="inlineStr">
        <is>
          <t>GAGNEF</t>
        </is>
      </c>
      <c r="G2059" t="n">
        <v>5.9</v>
      </c>
      <c r="H2059" t="n">
        <v>0</v>
      </c>
      <c r="I2059" t="n">
        <v>0</v>
      </c>
      <c r="J2059" t="n">
        <v>0</v>
      </c>
      <c r="K2059" t="n">
        <v>0</v>
      </c>
      <c r="L2059" t="n">
        <v>0</v>
      </c>
      <c r="M2059" t="n">
        <v>0</v>
      </c>
      <c r="N2059" t="n">
        <v>0</v>
      </c>
      <c r="O2059" t="n">
        <v>0</v>
      </c>
      <c r="P2059" t="n">
        <v>0</v>
      </c>
      <c r="Q2059" t="n">
        <v>0</v>
      </c>
      <c r="R2059" s="2" t="inlineStr"/>
    </row>
    <row r="2060" ht="15" customHeight="1">
      <c r="A2060" t="inlineStr">
        <is>
          <t>A 564-2020</t>
        </is>
      </c>
      <c r="B2060" s="1" t="n">
        <v>43817</v>
      </c>
      <c r="C2060" s="1" t="n">
        <v>45210</v>
      </c>
      <c r="D2060" t="inlineStr">
        <is>
          <t>DALARNAS LÄN</t>
        </is>
      </c>
      <c r="E2060" t="inlineStr">
        <is>
          <t>MORA</t>
        </is>
      </c>
      <c r="F2060" t="inlineStr">
        <is>
          <t>Kommuner</t>
        </is>
      </c>
      <c r="G2060" t="n">
        <v>56.1</v>
      </c>
      <c r="H2060" t="n">
        <v>0</v>
      </c>
      <c r="I2060" t="n">
        <v>0</v>
      </c>
      <c r="J2060" t="n">
        <v>0</v>
      </c>
      <c r="K2060" t="n">
        <v>0</v>
      </c>
      <c r="L2060" t="n">
        <v>0</v>
      </c>
      <c r="M2060" t="n">
        <v>0</v>
      </c>
      <c r="N2060" t="n">
        <v>0</v>
      </c>
      <c r="O2060" t="n">
        <v>0</v>
      </c>
      <c r="P2060" t="n">
        <v>0</v>
      </c>
      <c r="Q2060" t="n">
        <v>0</v>
      </c>
      <c r="R2060" s="2" t="inlineStr"/>
    </row>
    <row r="2061" ht="15" customHeight="1">
      <c r="A2061" t="inlineStr">
        <is>
          <t>A 68092-2019</t>
        </is>
      </c>
      <c r="B2061" s="1" t="n">
        <v>43817</v>
      </c>
      <c r="C2061" s="1" t="n">
        <v>45210</v>
      </c>
      <c r="D2061" t="inlineStr">
        <is>
          <t>DALARNAS LÄN</t>
        </is>
      </c>
      <c r="E2061" t="inlineStr">
        <is>
          <t>MORA</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68547-2019</t>
        </is>
      </c>
      <c r="B2062" s="1" t="n">
        <v>43818</v>
      </c>
      <c r="C2062" s="1" t="n">
        <v>45210</v>
      </c>
      <c r="D2062" t="inlineStr">
        <is>
          <t>DALARNAS LÄN</t>
        </is>
      </c>
      <c r="E2062" t="inlineStr">
        <is>
          <t>GAGNEF</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68558-2019</t>
        </is>
      </c>
      <c r="B2063" s="1" t="n">
        <v>43818</v>
      </c>
      <c r="C2063" s="1" t="n">
        <v>45210</v>
      </c>
      <c r="D2063" t="inlineStr">
        <is>
          <t>DALARNAS LÄN</t>
        </is>
      </c>
      <c r="E2063" t="inlineStr">
        <is>
          <t>ORSA</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68332-2019</t>
        </is>
      </c>
      <c r="B2064" s="1" t="n">
        <v>43818</v>
      </c>
      <c r="C2064" s="1" t="n">
        <v>45210</v>
      </c>
      <c r="D2064" t="inlineStr">
        <is>
          <t>DALARNAS LÄN</t>
        </is>
      </c>
      <c r="E2064" t="inlineStr">
        <is>
          <t>FALUN</t>
        </is>
      </c>
      <c r="F2064" t="inlineStr">
        <is>
          <t>Bergvik skog väst AB</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68376-2019</t>
        </is>
      </c>
      <c r="B2065" s="1" t="n">
        <v>43818</v>
      </c>
      <c r="C2065" s="1" t="n">
        <v>45210</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68403-2019</t>
        </is>
      </c>
      <c r="B2066" s="1" t="n">
        <v>43818</v>
      </c>
      <c r="C2066" s="1" t="n">
        <v>45210</v>
      </c>
      <c r="D2066" t="inlineStr">
        <is>
          <t>DALARNAS LÄN</t>
        </is>
      </c>
      <c r="E2066" t="inlineStr">
        <is>
          <t>FALUN</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68721-2019</t>
        </is>
      </c>
      <c r="B2067" s="1" t="n">
        <v>43819</v>
      </c>
      <c r="C2067" s="1" t="n">
        <v>45210</v>
      </c>
      <c r="D2067" t="inlineStr">
        <is>
          <t>DALARNAS LÄN</t>
        </is>
      </c>
      <c r="E2067" t="inlineStr">
        <is>
          <t>LUDVIKA</t>
        </is>
      </c>
      <c r="F2067" t="inlineStr">
        <is>
          <t>Bergvik skog väst AB</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68789-2019</t>
        </is>
      </c>
      <c r="B2068" s="1" t="n">
        <v>43819</v>
      </c>
      <c r="C2068" s="1" t="n">
        <v>45210</v>
      </c>
      <c r="D2068" t="inlineStr">
        <is>
          <t>DALARNAS LÄN</t>
        </is>
      </c>
      <c r="E2068" t="inlineStr">
        <is>
          <t>MALUNG-SÄLEN</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1105-2020</t>
        </is>
      </c>
      <c r="B2069" s="1" t="n">
        <v>43819</v>
      </c>
      <c r="C2069" s="1" t="n">
        <v>45210</v>
      </c>
      <c r="D2069" t="inlineStr">
        <is>
          <t>DALARNAS LÄN</t>
        </is>
      </c>
      <c r="E2069" t="inlineStr">
        <is>
          <t>FALUN</t>
        </is>
      </c>
      <c r="G2069" t="n">
        <v>10.1</v>
      </c>
      <c r="H2069" t="n">
        <v>0</v>
      </c>
      <c r="I2069" t="n">
        <v>0</v>
      </c>
      <c r="J2069" t="n">
        <v>0</v>
      </c>
      <c r="K2069" t="n">
        <v>0</v>
      </c>
      <c r="L2069" t="n">
        <v>0</v>
      </c>
      <c r="M2069" t="n">
        <v>0</v>
      </c>
      <c r="N2069" t="n">
        <v>0</v>
      </c>
      <c r="O2069" t="n">
        <v>0</v>
      </c>
      <c r="P2069" t="n">
        <v>0</v>
      </c>
      <c r="Q2069" t="n">
        <v>0</v>
      </c>
      <c r="R2069" s="2" t="inlineStr"/>
    </row>
    <row r="2070" ht="15" customHeight="1">
      <c r="A2070" t="inlineStr">
        <is>
          <t>A 68661-2019</t>
        </is>
      </c>
      <c r="B2070" s="1" t="n">
        <v>43819</v>
      </c>
      <c r="C2070" s="1" t="n">
        <v>45210</v>
      </c>
      <c r="D2070" t="inlineStr">
        <is>
          <t>DALARNAS LÄN</t>
        </is>
      </c>
      <c r="E2070" t="inlineStr">
        <is>
          <t>FALUN</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68774-2019</t>
        </is>
      </c>
      <c r="B2071" s="1" t="n">
        <v>43819</v>
      </c>
      <c r="C2071" s="1" t="n">
        <v>45210</v>
      </c>
      <c r="D2071" t="inlineStr">
        <is>
          <t>DALARNAS LÄN</t>
        </is>
      </c>
      <c r="E2071" t="inlineStr">
        <is>
          <t>VANSBRO</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68856-2019</t>
        </is>
      </c>
      <c r="B2072" s="1" t="n">
        <v>43820</v>
      </c>
      <c r="C2072" s="1" t="n">
        <v>45210</v>
      </c>
      <c r="D2072" t="inlineStr">
        <is>
          <t>DALARNAS LÄN</t>
        </is>
      </c>
      <c r="E2072" t="inlineStr">
        <is>
          <t>HEDEMORA</t>
        </is>
      </c>
      <c r="G2072" t="n">
        <v>17.6</v>
      </c>
      <c r="H2072" t="n">
        <v>0</v>
      </c>
      <c r="I2072" t="n">
        <v>0</v>
      </c>
      <c r="J2072" t="n">
        <v>0</v>
      </c>
      <c r="K2072" t="n">
        <v>0</v>
      </c>
      <c r="L2072" t="n">
        <v>0</v>
      </c>
      <c r="M2072" t="n">
        <v>0</v>
      </c>
      <c r="N2072" t="n">
        <v>0</v>
      </c>
      <c r="O2072" t="n">
        <v>0</v>
      </c>
      <c r="P2072" t="n">
        <v>0</v>
      </c>
      <c r="Q2072" t="n">
        <v>0</v>
      </c>
      <c r="R2072" s="2" t="inlineStr"/>
    </row>
    <row r="2073" ht="15" customHeight="1">
      <c r="A2073" t="inlineStr">
        <is>
          <t>A 68854-2019</t>
        </is>
      </c>
      <c r="B2073" s="1" t="n">
        <v>43820</v>
      </c>
      <c r="C2073" s="1" t="n">
        <v>45210</v>
      </c>
      <c r="D2073" t="inlineStr">
        <is>
          <t>DALARNAS LÄN</t>
        </is>
      </c>
      <c r="E2073" t="inlineStr">
        <is>
          <t>ÄLVDALEN</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68938-2019</t>
        </is>
      </c>
      <c r="B2074" s="1" t="n">
        <v>43822</v>
      </c>
      <c r="C2074" s="1" t="n">
        <v>45210</v>
      </c>
      <c r="D2074" t="inlineStr">
        <is>
          <t>DALARNAS LÄN</t>
        </is>
      </c>
      <c r="E2074" t="inlineStr">
        <is>
          <t>SMEDJEBACKEN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68894-2019</t>
        </is>
      </c>
      <c r="B2075" s="1" t="n">
        <v>43822</v>
      </c>
      <c r="C2075" s="1" t="n">
        <v>45210</v>
      </c>
      <c r="D2075" t="inlineStr">
        <is>
          <t>DALARNAS LÄN</t>
        </is>
      </c>
      <c r="E2075" t="inlineStr">
        <is>
          <t>SÄTER</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68937-2019</t>
        </is>
      </c>
      <c r="B2076" s="1" t="n">
        <v>43822</v>
      </c>
      <c r="C2076" s="1" t="n">
        <v>45210</v>
      </c>
      <c r="D2076" t="inlineStr">
        <is>
          <t>DALARNAS LÄN</t>
        </is>
      </c>
      <c r="E2076" t="inlineStr">
        <is>
          <t>SMEDJEBACKEN</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68936-2019</t>
        </is>
      </c>
      <c r="B2077" s="1" t="n">
        <v>43822</v>
      </c>
      <c r="C2077" s="1" t="n">
        <v>45210</v>
      </c>
      <c r="D2077" t="inlineStr">
        <is>
          <t>DALARNAS LÄN</t>
        </is>
      </c>
      <c r="E2077" t="inlineStr">
        <is>
          <t>ÄLVDALEN</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68955-2019</t>
        </is>
      </c>
      <c r="B2078" s="1" t="n">
        <v>43822</v>
      </c>
      <c r="C2078" s="1" t="n">
        <v>45210</v>
      </c>
      <c r="D2078" t="inlineStr">
        <is>
          <t>DALARNAS LÄN</t>
        </is>
      </c>
      <c r="E2078" t="inlineStr">
        <is>
          <t>FALUN</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1506-2020</t>
        </is>
      </c>
      <c r="B2079" s="1" t="n">
        <v>43826</v>
      </c>
      <c r="C2079" s="1" t="n">
        <v>45210</v>
      </c>
      <c r="D2079" t="inlineStr">
        <is>
          <t>DALARNAS LÄN</t>
        </is>
      </c>
      <c r="E2079" t="inlineStr">
        <is>
          <t>MORA</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69097-2019</t>
        </is>
      </c>
      <c r="B2080" s="1" t="n">
        <v>43829</v>
      </c>
      <c r="C2080" s="1" t="n">
        <v>45210</v>
      </c>
      <c r="D2080" t="inlineStr">
        <is>
          <t>DALARNAS LÄN</t>
        </is>
      </c>
      <c r="E2080" t="inlineStr">
        <is>
          <t>RÄTTVIK</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1604-2020</t>
        </is>
      </c>
      <c r="B2081" s="1" t="n">
        <v>43829</v>
      </c>
      <c r="C2081" s="1" t="n">
        <v>45210</v>
      </c>
      <c r="D2081" t="inlineStr">
        <is>
          <t>DALARNAS LÄN</t>
        </is>
      </c>
      <c r="E2081" t="inlineStr">
        <is>
          <t>LEKSAND</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101-2020</t>
        </is>
      </c>
      <c r="B2082" s="1" t="n">
        <v>43832</v>
      </c>
      <c r="C2082" s="1" t="n">
        <v>45210</v>
      </c>
      <c r="D2082" t="inlineStr">
        <is>
          <t>DALARNAS LÄN</t>
        </is>
      </c>
      <c r="E2082" t="inlineStr">
        <is>
          <t>VANSBRO</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1771-2020</t>
        </is>
      </c>
      <c r="B2083" s="1" t="n">
        <v>43833</v>
      </c>
      <c r="C2083" s="1" t="n">
        <v>45210</v>
      </c>
      <c r="D2083" t="inlineStr">
        <is>
          <t>DALARNAS LÄN</t>
        </is>
      </c>
      <c r="E2083" t="inlineStr">
        <is>
          <t>RÄTTVIK</t>
        </is>
      </c>
      <c r="G2083" t="n">
        <v>9</v>
      </c>
      <c r="H2083" t="n">
        <v>0</v>
      </c>
      <c r="I2083" t="n">
        <v>0</v>
      </c>
      <c r="J2083" t="n">
        <v>0</v>
      </c>
      <c r="K2083" t="n">
        <v>0</v>
      </c>
      <c r="L2083" t="n">
        <v>0</v>
      </c>
      <c r="M2083" t="n">
        <v>0</v>
      </c>
      <c r="N2083" t="n">
        <v>0</v>
      </c>
      <c r="O2083" t="n">
        <v>0</v>
      </c>
      <c r="P2083" t="n">
        <v>0</v>
      </c>
      <c r="Q2083" t="n">
        <v>0</v>
      </c>
      <c r="R2083" s="2" t="inlineStr"/>
    </row>
    <row r="2084" ht="15" customHeight="1">
      <c r="A2084" t="inlineStr">
        <is>
          <t>A 165-2020</t>
        </is>
      </c>
      <c r="B2084" s="1" t="n">
        <v>43833</v>
      </c>
      <c r="C2084" s="1" t="n">
        <v>45210</v>
      </c>
      <c r="D2084" t="inlineStr">
        <is>
          <t>DALARNAS LÄN</t>
        </is>
      </c>
      <c r="E2084" t="inlineStr">
        <is>
          <t>GAGNEF</t>
        </is>
      </c>
      <c r="F2084" t="inlineStr">
        <is>
          <t>Kommuner</t>
        </is>
      </c>
      <c r="G2084" t="n">
        <v>8.9</v>
      </c>
      <c r="H2084" t="n">
        <v>0</v>
      </c>
      <c r="I2084" t="n">
        <v>0</v>
      </c>
      <c r="J2084" t="n">
        <v>0</v>
      </c>
      <c r="K2084" t="n">
        <v>0</v>
      </c>
      <c r="L2084" t="n">
        <v>0</v>
      </c>
      <c r="M2084" t="n">
        <v>0</v>
      </c>
      <c r="N2084" t="n">
        <v>0</v>
      </c>
      <c r="O2084" t="n">
        <v>0</v>
      </c>
      <c r="P2084" t="n">
        <v>0</v>
      </c>
      <c r="Q2084" t="n">
        <v>0</v>
      </c>
      <c r="R2084" s="2" t="inlineStr"/>
    </row>
    <row r="2085" ht="15" customHeight="1">
      <c r="A2085" t="inlineStr">
        <is>
          <t>A 449-2020</t>
        </is>
      </c>
      <c r="B2085" s="1" t="n">
        <v>43837</v>
      </c>
      <c r="C2085" s="1" t="n">
        <v>45210</v>
      </c>
      <c r="D2085" t="inlineStr">
        <is>
          <t>DALARNAS LÄN</t>
        </is>
      </c>
      <c r="E2085" t="inlineStr">
        <is>
          <t>RÄTTVIK</t>
        </is>
      </c>
      <c r="G2085" t="n">
        <v>18.5</v>
      </c>
      <c r="H2085" t="n">
        <v>0</v>
      </c>
      <c r="I2085" t="n">
        <v>0</v>
      </c>
      <c r="J2085" t="n">
        <v>0</v>
      </c>
      <c r="K2085" t="n">
        <v>0</v>
      </c>
      <c r="L2085" t="n">
        <v>0</v>
      </c>
      <c r="M2085" t="n">
        <v>0</v>
      </c>
      <c r="N2085" t="n">
        <v>0</v>
      </c>
      <c r="O2085" t="n">
        <v>0</v>
      </c>
      <c r="P2085" t="n">
        <v>0</v>
      </c>
      <c r="Q2085" t="n">
        <v>0</v>
      </c>
      <c r="R2085" s="2" t="inlineStr"/>
    </row>
    <row r="2086" ht="15" customHeight="1">
      <c r="A2086" t="inlineStr">
        <is>
          <t>A 1915-2020</t>
        </is>
      </c>
      <c r="B2086" s="1" t="n">
        <v>43837</v>
      </c>
      <c r="C2086" s="1" t="n">
        <v>45210</v>
      </c>
      <c r="D2086" t="inlineStr">
        <is>
          <t>DALARNAS LÄN</t>
        </is>
      </c>
      <c r="E2086" t="inlineStr">
        <is>
          <t>LEKSAND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337-2020</t>
        </is>
      </c>
      <c r="B2087" s="1" t="n">
        <v>43837</v>
      </c>
      <c r="C2087" s="1" t="n">
        <v>45210</v>
      </c>
      <c r="D2087" t="inlineStr">
        <is>
          <t>DALARNAS LÄN</t>
        </is>
      </c>
      <c r="E2087" t="inlineStr">
        <is>
          <t>MALUNG-SÄLEN</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654-2020</t>
        </is>
      </c>
      <c r="B2088" s="1" t="n">
        <v>43838</v>
      </c>
      <c r="C2088" s="1" t="n">
        <v>45210</v>
      </c>
      <c r="D2088" t="inlineStr">
        <is>
          <t>DALARNAS LÄN</t>
        </is>
      </c>
      <c r="E2088" t="inlineStr">
        <is>
          <t>FALUN</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946-2020</t>
        </is>
      </c>
      <c r="B2089" s="1" t="n">
        <v>43839</v>
      </c>
      <c r="C2089" s="1" t="n">
        <v>45210</v>
      </c>
      <c r="D2089" t="inlineStr">
        <is>
          <t>DALARNAS LÄN</t>
        </is>
      </c>
      <c r="E2089" t="inlineStr">
        <is>
          <t>RÄTTVIK</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2198-2020</t>
        </is>
      </c>
      <c r="B2090" s="1" t="n">
        <v>43839</v>
      </c>
      <c r="C2090" s="1" t="n">
        <v>45210</v>
      </c>
      <c r="D2090" t="inlineStr">
        <is>
          <t>DALARNAS LÄN</t>
        </is>
      </c>
      <c r="E2090" t="inlineStr">
        <is>
          <t>MALUNG-SÄLEN</t>
        </is>
      </c>
      <c r="G2090" t="n">
        <v>0.3</v>
      </c>
      <c r="H2090" t="n">
        <v>0</v>
      </c>
      <c r="I2090" t="n">
        <v>0</v>
      </c>
      <c r="J2090" t="n">
        <v>0</v>
      </c>
      <c r="K2090" t="n">
        <v>0</v>
      </c>
      <c r="L2090" t="n">
        <v>0</v>
      </c>
      <c r="M2090" t="n">
        <v>0</v>
      </c>
      <c r="N2090" t="n">
        <v>0</v>
      </c>
      <c r="O2090" t="n">
        <v>0</v>
      </c>
      <c r="P2090" t="n">
        <v>0</v>
      </c>
      <c r="Q2090" t="n">
        <v>0</v>
      </c>
      <c r="R2090" s="2" t="inlineStr"/>
    </row>
    <row r="2091" ht="15" customHeight="1">
      <c r="A2091" t="inlineStr">
        <is>
          <t>A 2333-2020</t>
        </is>
      </c>
      <c r="B2091" s="1" t="n">
        <v>43840</v>
      </c>
      <c r="C2091" s="1" t="n">
        <v>45210</v>
      </c>
      <c r="D2091" t="inlineStr">
        <is>
          <t>DALARNAS LÄN</t>
        </is>
      </c>
      <c r="E2091" t="inlineStr">
        <is>
          <t>SMEDJEBACKEN</t>
        </is>
      </c>
      <c r="G2091" t="n">
        <v>4.5</v>
      </c>
      <c r="H2091" t="n">
        <v>0</v>
      </c>
      <c r="I2091" t="n">
        <v>0</v>
      </c>
      <c r="J2091" t="n">
        <v>0</v>
      </c>
      <c r="K2091" t="n">
        <v>0</v>
      </c>
      <c r="L2091" t="n">
        <v>0</v>
      </c>
      <c r="M2091" t="n">
        <v>0</v>
      </c>
      <c r="N2091" t="n">
        <v>0</v>
      </c>
      <c r="O2091" t="n">
        <v>0</v>
      </c>
      <c r="P2091" t="n">
        <v>0</v>
      </c>
      <c r="Q2091" t="n">
        <v>0</v>
      </c>
      <c r="R2091" s="2" t="inlineStr"/>
    </row>
    <row r="2092" ht="15" customHeight="1">
      <c r="A2092" t="inlineStr">
        <is>
          <t>A 1080-2020</t>
        </is>
      </c>
      <c r="B2092" s="1" t="n">
        <v>43840</v>
      </c>
      <c r="C2092" s="1" t="n">
        <v>45210</v>
      </c>
      <c r="D2092" t="inlineStr">
        <is>
          <t>DALARNAS LÄN</t>
        </is>
      </c>
      <c r="E2092" t="inlineStr">
        <is>
          <t>SMEDJEBACKEN</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1215-2020</t>
        </is>
      </c>
      <c r="B2093" s="1" t="n">
        <v>43840</v>
      </c>
      <c r="C2093" s="1" t="n">
        <v>45210</v>
      </c>
      <c r="D2093" t="inlineStr">
        <is>
          <t>DALARNAS LÄN</t>
        </is>
      </c>
      <c r="E2093" t="inlineStr">
        <is>
          <t>HEDEMORA</t>
        </is>
      </c>
      <c r="F2093" t="inlineStr">
        <is>
          <t>Sveaskog</t>
        </is>
      </c>
      <c r="G2093" t="n">
        <v>7</v>
      </c>
      <c r="H2093" t="n">
        <v>0</v>
      </c>
      <c r="I2093" t="n">
        <v>0</v>
      </c>
      <c r="J2093" t="n">
        <v>0</v>
      </c>
      <c r="K2093" t="n">
        <v>0</v>
      </c>
      <c r="L2093" t="n">
        <v>0</v>
      </c>
      <c r="M2093" t="n">
        <v>0</v>
      </c>
      <c r="N2093" t="n">
        <v>0</v>
      </c>
      <c r="O2093" t="n">
        <v>0</v>
      </c>
      <c r="P2093" t="n">
        <v>0</v>
      </c>
      <c r="Q2093" t="n">
        <v>0</v>
      </c>
      <c r="R2093" s="2" t="inlineStr"/>
    </row>
    <row r="2094" ht="15" customHeight="1">
      <c r="A2094" t="inlineStr">
        <is>
          <t>A 1287-2020</t>
        </is>
      </c>
      <c r="B2094" s="1" t="n">
        <v>43842</v>
      </c>
      <c r="C2094" s="1" t="n">
        <v>45210</v>
      </c>
      <c r="D2094" t="inlineStr">
        <is>
          <t>DALARNAS LÄN</t>
        </is>
      </c>
      <c r="E2094" t="inlineStr">
        <is>
          <t>SMEDJEBACKEN</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1466-2020</t>
        </is>
      </c>
      <c r="B2095" s="1" t="n">
        <v>43843</v>
      </c>
      <c r="C2095" s="1" t="n">
        <v>45210</v>
      </c>
      <c r="D2095" t="inlineStr">
        <is>
          <t>DALARNAS LÄN</t>
        </is>
      </c>
      <c r="E2095" t="inlineStr">
        <is>
          <t>SMEDJEBACKEN</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2746-2020</t>
        </is>
      </c>
      <c r="B2096" s="1" t="n">
        <v>43843</v>
      </c>
      <c r="C2096" s="1" t="n">
        <v>45210</v>
      </c>
      <c r="D2096" t="inlineStr">
        <is>
          <t>DALARNAS LÄN</t>
        </is>
      </c>
      <c r="E2096" t="inlineStr">
        <is>
          <t>AVESTA</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1470-2020</t>
        </is>
      </c>
      <c r="B2097" s="1" t="n">
        <v>43843</v>
      </c>
      <c r="C2097" s="1" t="n">
        <v>45210</v>
      </c>
      <c r="D2097" t="inlineStr">
        <is>
          <t>DALARNAS LÄN</t>
        </is>
      </c>
      <c r="E2097" t="inlineStr">
        <is>
          <t>SMEDJEBACKEN</t>
        </is>
      </c>
      <c r="G2097" t="n">
        <v>4</v>
      </c>
      <c r="H2097" t="n">
        <v>0</v>
      </c>
      <c r="I2097" t="n">
        <v>0</v>
      </c>
      <c r="J2097" t="n">
        <v>0</v>
      </c>
      <c r="K2097" t="n">
        <v>0</v>
      </c>
      <c r="L2097" t="n">
        <v>0</v>
      </c>
      <c r="M2097" t="n">
        <v>0</v>
      </c>
      <c r="N2097" t="n">
        <v>0</v>
      </c>
      <c r="O2097" t="n">
        <v>0</v>
      </c>
      <c r="P2097" t="n">
        <v>0</v>
      </c>
      <c r="Q2097" t="n">
        <v>0</v>
      </c>
      <c r="R2097" s="2" t="inlineStr"/>
    </row>
    <row r="2098" ht="15" customHeight="1">
      <c r="A2098" t="inlineStr">
        <is>
          <t>A 2556-2020</t>
        </is>
      </c>
      <c r="B2098" s="1" t="n">
        <v>43843</v>
      </c>
      <c r="C2098" s="1" t="n">
        <v>45210</v>
      </c>
      <c r="D2098" t="inlineStr">
        <is>
          <t>DALARNAS LÄN</t>
        </is>
      </c>
      <c r="E2098" t="inlineStr">
        <is>
          <t>RÄTTVIK</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1778-2020</t>
        </is>
      </c>
      <c r="B2099" s="1" t="n">
        <v>43844</v>
      </c>
      <c r="C2099" s="1" t="n">
        <v>45210</v>
      </c>
      <c r="D2099" t="inlineStr">
        <is>
          <t>DALARNAS LÄN</t>
        </is>
      </c>
      <c r="E2099" t="inlineStr">
        <is>
          <t>LEKSAND</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1829-2020</t>
        </is>
      </c>
      <c r="B2100" s="1" t="n">
        <v>43844</v>
      </c>
      <c r="C2100" s="1" t="n">
        <v>45210</v>
      </c>
      <c r="D2100" t="inlineStr">
        <is>
          <t>DALARNAS LÄN</t>
        </is>
      </c>
      <c r="E2100" t="inlineStr">
        <is>
          <t>ORSA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1841-2020</t>
        </is>
      </c>
      <c r="B2101" s="1" t="n">
        <v>43844</v>
      </c>
      <c r="C2101" s="1" t="n">
        <v>45210</v>
      </c>
      <c r="D2101" t="inlineStr">
        <is>
          <t>DALARNAS LÄN</t>
        </is>
      </c>
      <c r="E2101" t="inlineStr">
        <is>
          <t>MORA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3404-2020</t>
        </is>
      </c>
      <c r="B2102" s="1" t="n">
        <v>43845</v>
      </c>
      <c r="C2102" s="1" t="n">
        <v>45210</v>
      </c>
      <c r="D2102" t="inlineStr">
        <is>
          <t>DALARNAS LÄN</t>
        </is>
      </c>
      <c r="E2102" t="inlineStr">
        <is>
          <t>RÄTTVIK</t>
        </is>
      </c>
      <c r="F2102" t="inlineStr">
        <is>
          <t>Kommuner</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2044-2020</t>
        </is>
      </c>
      <c r="B2103" s="1" t="n">
        <v>43845</v>
      </c>
      <c r="C2103" s="1" t="n">
        <v>45210</v>
      </c>
      <c r="D2103" t="inlineStr">
        <is>
          <t>DALARNAS LÄN</t>
        </is>
      </c>
      <c r="E2103" t="inlineStr">
        <is>
          <t>SMEDJEBACKEN</t>
        </is>
      </c>
      <c r="F2103" t="inlineStr">
        <is>
          <t>Kyrkan</t>
        </is>
      </c>
      <c r="G2103" t="n">
        <v>5.1</v>
      </c>
      <c r="H2103" t="n">
        <v>0</v>
      </c>
      <c r="I2103" t="n">
        <v>0</v>
      </c>
      <c r="J2103" t="n">
        <v>0</v>
      </c>
      <c r="K2103" t="n">
        <v>0</v>
      </c>
      <c r="L2103" t="n">
        <v>0</v>
      </c>
      <c r="M2103" t="n">
        <v>0</v>
      </c>
      <c r="N2103" t="n">
        <v>0</v>
      </c>
      <c r="O2103" t="n">
        <v>0</v>
      </c>
      <c r="P2103" t="n">
        <v>0</v>
      </c>
      <c r="Q2103" t="n">
        <v>0</v>
      </c>
      <c r="R2103" s="2" t="inlineStr"/>
    </row>
    <row r="2104" ht="15" customHeight="1">
      <c r="A2104" t="inlineStr">
        <is>
          <t>A 2050-2020</t>
        </is>
      </c>
      <c r="B2104" s="1" t="n">
        <v>43845</v>
      </c>
      <c r="C2104" s="1" t="n">
        <v>45210</v>
      </c>
      <c r="D2104" t="inlineStr">
        <is>
          <t>DALARNAS LÄN</t>
        </is>
      </c>
      <c r="E2104" t="inlineStr">
        <is>
          <t>ÄLVDALEN</t>
        </is>
      </c>
      <c r="G2104" t="n">
        <v>9.5</v>
      </c>
      <c r="H2104" t="n">
        <v>0</v>
      </c>
      <c r="I2104" t="n">
        <v>0</v>
      </c>
      <c r="J2104" t="n">
        <v>0</v>
      </c>
      <c r="K2104" t="n">
        <v>0</v>
      </c>
      <c r="L2104" t="n">
        <v>0</v>
      </c>
      <c r="M2104" t="n">
        <v>0</v>
      </c>
      <c r="N2104" t="n">
        <v>0</v>
      </c>
      <c r="O2104" t="n">
        <v>0</v>
      </c>
      <c r="P2104" t="n">
        <v>0</v>
      </c>
      <c r="Q2104" t="n">
        <v>0</v>
      </c>
      <c r="R2104" s="2" t="inlineStr"/>
    </row>
    <row r="2105" ht="15" customHeight="1">
      <c r="A2105" t="inlineStr">
        <is>
          <t>A 3337-2020</t>
        </is>
      </c>
      <c r="B2105" s="1" t="n">
        <v>43845</v>
      </c>
      <c r="C2105" s="1" t="n">
        <v>45210</v>
      </c>
      <c r="D2105" t="inlineStr">
        <is>
          <t>DALARNAS LÄN</t>
        </is>
      </c>
      <c r="E2105" t="inlineStr">
        <is>
          <t>ORSA</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1993-2020</t>
        </is>
      </c>
      <c r="B2106" s="1" t="n">
        <v>43845</v>
      </c>
      <c r="C2106" s="1" t="n">
        <v>45210</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3436-2020</t>
        </is>
      </c>
      <c r="B2107" s="1" t="n">
        <v>43845</v>
      </c>
      <c r="C2107" s="1" t="n">
        <v>45210</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3588-2020</t>
        </is>
      </c>
      <c r="B2108" s="1" t="n">
        <v>43845</v>
      </c>
      <c r="C2108" s="1" t="n">
        <v>45210</v>
      </c>
      <c r="D2108" t="inlineStr">
        <is>
          <t>DALARNAS LÄN</t>
        </is>
      </c>
      <c r="E2108" t="inlineStr">
        <is>
          <t>MORA</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2166-2020</t>
        </is>
      </c>
      <c r="B2109" s="1" t="n">
        <v>43846</v>
      </c>
      <c r="C2109" s="1" t="n">
        <v>45210</v>
      </c>
      <c r="D2109" t="inlineStr">
        <is>
          <t>DALARNAS LÄN</t>
        </is>
      </c>
      <c r="E2109" t="inlineStr">
        <is>
          <t>ORSA</t>
        </is>
      </c>
      <c r="G2109" t="n">
        <v>11.2</v>
      </c>
      <c r="H2109" t="n">
        <v>0</v>
      </c>
      <c r="I2109" t="n">
        <v>0</v>
      </c>
      <c r="J2109" t="n">
        <v>0</v>
      </c>
      <c r="K2109" t="n">
        <v>0</v>
      </c>
      <c r="L2109" t="n">
        <v>0</v>
      </c>
      <c r="M2109" t="n">
        <v>0</v>
      </c>
      <c r="N2109" t="n">
        <v>0</v>
      </c>
      <c r="O2109" t="n">
        <v>0</v>
      </c>
      <c r="P2109" t="n">
        <v>0</v>
      </c>
      <c r="Q2109" t="n">
        <v>0</v>
      </c>
      <c r="R2109" s="2" t="inlineStr"/>
    </row>
    <row r="2110" ht="15" customHeight="1">
      <c r="A2110" t="inlineStr">
        <is>
          <t>A 2191-2020</t>
        </is>
      </c>
      <c r="B2110" s="1" t="n">
        <v>43846</v>
      </c>
      <c r="C2110" s="1" t="n">
        <v>45210</v>
      </c>
      <c r="D2110" t="inlineStr">
        <is>
          <t>DALARNAS LÄN</t>
        </is>
      </c>
      <c r="E2110" t="inlineStr">
        <is>
          <t>FALUN</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4046-2020</t>
        </is>
      </c>
      <c r="B2111" s="1" t="n">
        <v>43846</v>
      </c>
      <c r="C2111" s="1" t="n">
        <v>45210</v>
      </c>
      <c r="D2111" t="inlineStr">
        <is>
          <t>DALARNAS LÄN</t>
        </is>
      </c>
      <c r="E2111" t="inlineStr">
        <is>
          <t>SMEDJEBACKEN</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4071-2020</t>
        </is>
      </c>
      <c r="B2112" s="1" t="n">
        <v>43847</v>
      </c>
      <c r="C2112" s="1" t="n">
        <v>45210</v>
      </c>
      <c r="D2112" t="inlineStr">
        <is>
          <t>DALARNAS LÄN</t>
        </is>
      </c>
      <c r="E2112" t="inlineStr">
        <is>
          <t>LUDVIKA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2572-2020</t>
        </is>
      </c>
      <c r="B2113" s="1" t="n">
        <v>43847</v>
      </c>
      <c r="C2113" s="1" t="n">
        <v>45210</v>
      </c>
      <c r="D2113" t="inlineStr">
        <is>
          <t>DALARNAS LÄN</t>
        </is>
      </c>
      <c r="E2113" t="inlineStr">
        <is>
          <t>LUDVIKA</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2670-2020</t>
        </is>
      </c>
      <c r="B2114" s="1" t="n">
        <v>43849</v>
      </c>
      <c r="C2114" s="1" t="n">
        <v>45210</v>
      </c>
      <c r="D2114" t="inlineStr">
        <is>
          <t>DALARNAS LÄN</t>
        </is>
      </c>
      <c r="E2114" t="inlineStr">
        <is>
          <t>LEKSAND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2904-2020</t>
        </is>
      </c>
      <c r="B2115" s="1" t="n">
        <v>43850</v>
      </c>
      <c r="C2115" s="1" t="n">
        <v>45210</v>
      </c>
      <c r="D2115" t="inlineStr">
        <is>
          <t>DALARNAS LÄN</t>
        </is>
      </c>
      <c r="E2115" t="inlineStr">
        <is>
          <t>GAGNEF</t>
        </is>
      </c>
      <c r="G2115" t="n">
        <v>4.2</v>
      </c>
      <c r="H2115" t="n">
        <v>0</v>
      </c>
      <c r="I2115" t="n">
        <v>0</v>
      </c>
      <c r="J2115" t="n">
        <v>0</v>
      </c>
      <c r="K2115" t="n">
        <v>0</v>
      </c>
      <c r="L2115" t="n">
        <v>0</v>
      </c>
      <c r="M2115" t="n">
        <v>0</v>
      </c>
      <c r="N2115" t="n">
        <v>0</v>
      </c>
      <c r="O2115" t="n">
        <v>0</v>
      </c>
      <c r="P2115" t="n">
        <v>0</v>
      </c>
      <c r="Q2115" t="n">
        <v>0</v>
      </c>
      <c r="R2115" s="2" t="inlineStr"/>
    </row>
    <row r="2116" ht="15" customHeight="1">
      <c r="A2116" t="inlineStr">
        <is>
          <t>A 4485-2020</t>
        </is>
      </c>
      <c r="B2116" s="1" t="n">
        <v>43850</v>
      </c>
      <c r="C2116" s="1" t="n">
        <v>45210</v>
      </c>
      <c r="D2116" t="inlineStr">
        <is>
          <t>DALARNAS LÄN</t>
        </is>
      </c>
      <c r="E2116" t="inlineStr">
        <is>
          <t>RÄTTVIK</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2989-2020</t>
        </is>
      </c>
      <c r="B2117" s="1" t="n">
        <v>43850</v>
      </c>
      <c r="C2117" s="1" t="n">
        <v>45210</v>
      </c>
      <c r="D2117" t="inlineStr">
        <is>
          <t>DALARNAS LÄN</t>
        </is>
      </c>
      <c r="E2117" t="inlineStr">
        <is>
          <t>SMEDJEBACKEN</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2915-2020</t>
        </is>
      </c>
      <c r="B2118" s="1" t="n">
        <v>43850</v>
      </c>
      <c r="C2118" s="1" t="n">
        <v>45210</v>
      </c>
      <c r="D2118" t="inlineStr">
        <is>
          <t>DALARNAS LÄN</t>
        </is>
      </c>
      <c r="E2118" t="inlineStr">
        <is>
          <t>HEDEMORA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4479-2020</t>
        </is>
      </c>
      <c r="B2119" s="1" t="n">
        <v>43850</v>
      </c>
      <c r="C2119" s="1" t="n">
        <v>45210</v>
      </c>
      <c r="D2119" t="inlineStr">
        <is>
          <t>DALARNAS LÄN</t>
        </is>
      </c>
      <c r="E2119" t="inlineStr">
        <is>
          <t>LEKSAND</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2846-2020</t>
        </is>
      </c>
      <c r="B2120" s="1" t="n">
        <v>43850</v>
      </c>
      <c r="C2120" s="1" t="n">
        <v>45210</v>
      </c>
      <c r="D2120" t="inlineStr">
        <is>
          <t>DALARNAS LÄN</t>
        </is>
      </c>
      <c r="E2120" t="inlineStr">
        <is>
          <t>HEDEMORA</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3219-2020</t>
        </is>
      </c>
      <c r="B2121" s="1" t="n">
        <v>43851</v>
      </c>
      <c r="C2121" s="1" t="n">
        <v>45210</v>
      </c>
      <c r="D2121" t="inlineStr">
        <is>
          <t>DALARNAS LÄN</t>
        </is>
      </c>
      <c r="E2121" t="inlineStr">
        <is>
          <t>SMEDJEBACKEN</t>
        </is>
      </c>
      <c r="G2121" t="n">
        <v>7.2</v>
      </c>
      <c r="H2121" t="n">
        <v>0</v>
      </c>
      <c r="I2121" t="n">
        <v>0</v>
      </c>
      <c r="J2121" t="n">
        <v>0</v>
      </c>
      <c r="K2121" t="n">
        <v>0</v>
      </c>
      <c r="L2121" t="n">
        <v>0</v>
      </c>
      <c r="M2121" t="n">
        <v>0</v>
      </c>
      <c r="N2121" t="n">
        <v>0</v>
      </c>
      <c r="O2121" t="n">
        <v>0</v>
      </c>
      <c r="P2121" t="n">
        <v>0</v>
      </c>
      <c r="Q2121" t="n">
        <v>0</v>
      </c>
      <c r="R2121" s="2" t="inlineStr"/>
    </row>
    <row r="2122" ht="15" customHeight="1">
      <c r="A2122" t="inlineStr">
        <is>
          <t>A 3127-2020</t>
        </is>
      </c>
      <c r="B2122" s="1" t="n">
        <v>43851</v>
      </c>
      <c r="C2122" s="1" t="n">
        <v>45210</v>
      </c>
      <c r="D2122" t="inlineStr">
        <is>
          <t>DALARNAS LÄN</t>
        </is>
      </c>
      <c r="E2122" t="inlineStr">
        <is>
          <t>HEDEMORA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3301-2020</t>
        </is>
      </c>
      <c r="B2123" s="1" t="n">
        <v>43852</v>
      </c>
      <c r="C2123" s="1" t="n">
        <v>45210</v>
      </c>
      <c r="D2123" t="inlineStr">
        <is>
          <t>DALARNAS LÄN</t>
        </is>
      </c>
      <c r="E2123" t="inlineStr">
        <is>
          <t>ÄLVDALEN</t>
        </is>
      </c>
      <c r="G2123" t="n">
        <v>3.3</v>
      </c>
      <c r="H2123" t="n">
        <v>0</v>
      </c>
      <c r="I2123" t="n">
        <v>0</v>
      </c>
      <c r="J2123" t="n">
        <v>0</v>
      </c>
      <c r="K2123" t="n">
        <v>0</v>
      </c>
      <c r="L2123" t="n">
        <v>0</v>
      </c>
      <c r="M2123" t="n">
        <v>0</v>
      </c>
      <c r="N2123" t="n">
        <v>0</v>
      </c>
      <c r="O2123" t="n">
        <v>0</v>
      </c>
      <c r="P2123" t="n">
        <v>0</v>
      </c>
      <c r="Q2123" t="n">
        <v>0</v>
      </c>
      <c r="R2123" s="2" t="inlineStr"/>
    </row>
    <row r="2124" ht="15" customHeight="1">
      <c r="A2124" t="inlineStr">
        <is>
          <t>A 3601-2020</t>
        </is>
      </c>
      <c r="B2124" s="1" t="n">
        <v>43853</v>
      </c>
      <c r="C2124" s="1" t="n">
        <v>45210</v>
      </c>
      <c r="D2124" t="inlineStr">
        <is>
          <t>DALARNAS LÄN</t>
        </is>
      </c>
      <c r="E2124" t="inlineStr">
        <is>
          <t>SMEDJEBACKEN</t>
        </is>
      </c>
      <c r="F2124" t="inlineStr">
        <is>
          <t>Sveaskog</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3914-2020</t>
        </is>
      </c>
      <c r="B2125" s="1" t="n">
        <v>43854</v>
      </c>
      <c r="C2125" s="1" t="n">
        <v>45210</v>
      </c>
      <c r="D2125" t="inlineStr">
        <is>
          <t>DALARNAS LÄN</t>
        </is>
      </c>
      <c r="E2125" t="inlineStr">
        <is>
          <t>FALUN</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3942-2020</t>
        </is>
      </c>
      <c r="B2126" s="1" t="n">
        <v>43854</v>
      </c>
      <c r="C2126" s="1" t="n">
        <v>45210</v>
      </c>
      <c r="D2126" t="inlineStr">
        <is>
          <t>DALARNAS LÄN</t>
        </is>
      </c>
      <c r="E2126" t="inlineStr">
        <is>
          <t>RÄTTVIK</t>
        </is>
      </c>
      <c r="F2126" t="inlineStr">
        <is>
          <t>Bergvik skog väst AB</t>
        </is>
      </c>
      <c r="G2126" t="n">
        <v>0.1</v>
      </c>
      <c r="H2126" t="n">
        <v>0</v>
      </c>
      <c r="I2126" t="n">
        <v>0</v>
      </c>
      <c r="J2126" t="n">
        <v>0</v>
      </c>
      <c r="K2126" t="n">
        <v>0</v>
      </c>
      <c r="L2126" t="n">
        <v>0</v>
      </c>
      <c r="M2126" t="n">
        <v>0</v>
      </c>
      <c r="N2126" t="n">
        <v>0</v>
      </c>
      <c r="O2126" t="n">
        <v>0</v>
      </c>
      <c r="P2126" t="n">
        <v>0</v>
      </c>
      <c r="Q2126" t="n">
        <v>0</v>
      </c>
      <c r="R2126" s="2" t="inlineStr"/>
    </row>
    <row r="2127" ht="15" customHeight="1">
      <c r="A2127" t="inlineStr">
        <is>
          <t>A 5227-2020</t>
        </is>
      </c>
      <c r="B2127" s="1" t="n">
        <v>43854</v>
      </c>
      <c r="C2127" s="1" t="n">
        <v>45210</v>
      </c>
      <c r="D2127" t="inlineStr">
        <is>
          <t>DALARNAS LÄN</t>
        </is>
      </c>
      <c r="E2127" t="inlineStr">
        <is>
          <t>SMEDJEBACKEN</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3917-2020</t>
        </is>
      </c>
      <c r="B2128" s="1" t="n">
        <v>43854</v>
      </c>
      <c r="C2128" s="1" t="n">
        <v>45210</v>
      </c>
      <c r="D2128" t="inlineStr">
        <is>
          <t>DALARNAS LÄN</t>
        </is>
      </c>
      <c r="E2128" t="inlineStr">
        <is>
          <t>ÄLVDALEN</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3937-2020</t>
        </is>
      </c>
      <c r="B2129" s="1" t="n">
        <v>43854</v>
      </c>
      <c r="C2129" s="1" t="n">
        <v>45210</v>
      </c>
      <c r="D2129" t="inlineStr">
        <is>
          <t>DALARNAS LÄN</t>
        </is>
      </c>
      <c r="E2129" t="inlineStr">
        <is>
          <t>VANSBRO</t>
        </is>
      </c>
      <c r="F2129" t="inlineStr">
        <is>
          <t>Bergvik skog väst AB</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4004-2020</t>
        </is>
      </c>
      <c r="B2130" s="1" t="n">
        <v>43856</v>
      </c>
      <c r="C2130" s="1" t="n">
        <v>45210</v>
      </c>
      <c r="D2130" t="inlineStr">
        <is>
          <t>DALARNAS LÄN</t>
        </is>
      </c>
      <c r="E2130" t="inlineStr">
        <is>
          <t>LEKSAND</t>
        </is>
      </c>
      <c r="G2130" t="n">
        <v>6</v>
      </c>
      <c r="H2130" t="n">
        <v>0</v>
      </c>
      <c r="I2130" t="n">
        <v>0</v>
      </c>
      <c r="J2130" t="n">
        <v>0</v>
      </c>
      <c r="K2130" t="n">
        <v>0</v>
      </c>
      <c r="L2130" t="n">
        <v>0</v>
      </c>
      <c r="M2130" t="n">
        <v>0</v>
      </c>
      <c r="N2130" t="n">
        <v>0</v>
      </c>
      <c r="O2130" t="n">
        <v>0</v>
      </c>
      <c r="P2130" t="n">
        <v>0</v>
      </c>
      <c r="Q2130" t="n">
        <v>0</v>
      </c>
      <c r="R2130" s="2" t="inlineStr"/>
    </row>
    <row r="2131" ht="15" customHeight="1">
      <c r="A2131" t="inlineStr">
        <is>
          <t>A 4320-2020</t>
        </is>
      </c>
      <c r="B2131" s="1" t="n">
        <v>43857</v>
      </c>
      <c r="C2131" s="1" t="n">
        <v>45210</v>
      </c>
      <c r="D2131" t="inlineStr">
        <is>
          <t>DALARNAS LÄN</t>
        </is>
      </c>
      <c r="E2131" t="inlineStr">
        <is>
          <t>FALUN</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5311-2020</t>
        </is>
      </c>
      <c r="B2132" s="1" t="n">
        <v>43857</v>
      </c>
      <c r="C2132" s="1" t="n">
        <v>45210</v>
      </c>
      <c r="D2132" t="inlineStr">
        <is>
          <t>DALARNAS LÄN</t>
        </is>
      </c>
      <c r="E2132" t="inlineStr">
        <is>
          <t>RÄTTVIK</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4036-2020</t>
        </is>
      </c>
      <c r="B2133" s="1" t="n">
        <v>43857</v>
      </c>
      <c r="C2133" s="1" t="n">
        <v>45210</v>
      </c>
      <c r="D2133" t="inlineStr">
        <is>
          <t>DALARNAS LÄN</t>
        </is>
      </c>
      <c r="E2133" t="inlineStr">
        <is>
          <t>RÄTTVIK</t>
        </is>
      </c>
      <c r="G2133" t="n">
        <v>5.4</v>
      </c>
      <c r="H2133" t="n">
        <v>0</v>
      </c>
      <c r="I2133" t="n">
        <v>0</v>
      </c>
      <c r="J2133" t="n">
        <v>0</v>
      </c>
      <c r="K2133" t="n">
        <v>0</v>
      </c>
      <c r="L2133" t="n">
        <v>0</v>
      </c>
      <c r="M2133" t="n">
        <v>0</v>
      </c>
      <c r="N2133" t="n">
        <v>0</v>
      </c>
      <c r="O2133" t="n">
        <v>0</v>
      </c>
      <c r="P2133" t="n">
        <v>0</v>
      </c>
      <c r="Q2133" t="n">
        <v>0</v>
      </c>
      <c r="R2133" s="2" t="inlineStr"/>
    </row>
    <row r="2134" ht="15" customHeight="1">
      <c r="A2134" t="inlineStr">
        <is>
          <t>A 4106-2020</t>
        </is>
      </c>
      <c r="B2134" s="1" t="n">
        <v>43857</v>
      </c>
      <c r="C2134" s="1" t="n">
        <v>45210</v>
      </c>
      <c r="D2134" t="inlineStr">
        <is>
          <t>DALARNAS LÄN</t>
        </is>
      </c>
      <c r="E2134" t="inlineStr">
        <is>
          <t>MORA</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4280-2020</t>
        </is>
      </c>
      <c r="B2135" s="1" t="n">
        <v>43857</v>
      </c>
      <c r="C2135" s="1" t="n">
        <v>45210</v>
      </c>
      <c r="D2135" t="inlineStr">
        <is>
          <t>DALARNAS LÄN</t>
        </is>
      </c>
      <c r="E2135" t="inlineStr">
        <is>
          <t>RÄTTVIK</t>
        </is>
      </c>
      <c r="F2135" t="inlineStr">
        <is>
          <t>Sveaskog</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4611-2020</t>
        </is>
      </c>
      <c r="B2136" s="1" t="n">
        <v>43858</v>
      </c>
      <c r="C2136" s="1" t="n">
        <v>45210</v>
      </c>
      <c r="D2136" t="inlineStr">
        <is>
          <t>DALARNAS LÄN</t>
        </is>
      </c>
      <c r="E2136" t="inlineStr">
        <is>
          <t>LUDVIKA</t>
        </is>
      </c>
      <c r="F2136" t="inlineStr">
        <is>
          <t>Bergvik skog väst AB</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4632-2020</t>
        </is>
      </c>
      <c r="B2137" s="1" t="n">
        <v>43858</v>
      </c>
      <c r="C2137" s="1" t="n">
        <v>45210</v>
      </c>
      <c r="D2137" t="inlineStr">
        <is>
          <t>DALARNAS LÄN</t>
        </is>
      </c>
      <c r="E2137" t="inlineStr">
        <is>
          <t>AVESTA</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4818-2020</t>
        </is>
      </c>
      <c r="B2138" s="1" t="n">
        <v>43859</v>
      </c>
      <c r="C2138" s="1" t="n">
        <v>45210</v>
      </c>
      <c r="D2138" t="inlineStr">
        <is>
          <t>DALARNAS LÄN</t>
        </is>
      </c>
      <c r="E2138" t="inlineStr">
        <is>
          <t>MORA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4747-2020</t>
        </is>
      </c>
      <c r="B2139" s="1" t="n">
        <v>43859</v>
      </c>
      <c r="C2139" s="1" t="n">
        <v>45210</v>
      </c>
      <c r="D2139" t="inlineStr">
        <is>
          <t>DALARNAS LÄN</t>
        </is>
      </c>
      <c r="E2139" t="inlineStr">
        <is>
          <t>MALUNG-SÄLEN</t>
        </is>
      </c>
      <c r="F2139" t="inlineStr">
        <is>
          <t>Allmännings- och besparingsskogar</t>
        </is>
      </c>
      <c r="G2139" t="n">
        <v>27.6</v>
      </c>
      <c r="H2139" t="n">
        <v>0</v>
      </c>
      <c r="I2139" t="n">
        <v>0</v>
      </c>
      <c r="J2139" t="n">
        <v>0</v>
      </c>
      <c r="K2139" t="n">
        <v>0</v>
      </c>
      <c r="L2139" t="n">
        <v>0</v>
      </c>
      <c r="M2139" t="n">
        <v>0</v>
      </c>
      <c r="N2139" t="n">
        <v>0</v>
      </c>
      <c r="O2139" t="n">
        <v>0</v>
      </c>
      <c r="P2139" t="n">
        <v>0</v>
      </c>
      <c r="Q2139" t="n">
        <v>0</v>
      </c>
      <c r="R2139" s="2" t="inlineStr"/>
    </row>
    <row r="2140" ht="15" customHeight="1">
      <c r="A2140" t="inlineStr">
        <is>
          <t>A 5243-2020</t>
        </is>
      </c>
      <c r="B2140" s="1" t="n">
        <v>43860</v>
      </c>
      <c r="C2140" s="1" t="n">
        <v>45210</v>
      </c>
      <c r="D2140" t="inlineStr">
        <is>
          <t>DALARNAS LÄN</t>
        </is>
      </c>
      <c r="E2140" t="inlineStr">
        <is>
          <t>LUDVIKA</t>
        </is>
      </c>
      <c r="F2140" t="inlineStr">
        <is>
          <t>Bergvik skog väst AB</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5288-2020</t>
        </is>
      </c>
      <c r="B2141" s="1" t="n">
        <v>43860</v>
      </c>
      <c r="C2141" s="1" t="n">
        <v>45210</v>
      </c>
      <c r="D2141" t="inlineStr">
        <is>
          <t>DALARNAS LÄN</t>
        </is>
      </c>
      <c r="E2141" t="inlineStr">
        <is>
          <t>VANSBRO</t>
        </is>
      </c>
      <c r="F2141" t="inlineStr">
        <is>
          <t>Bergvik skog väst AB</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5353-2020</t>
        </is>
      </c>
      <c r="B2142" s="1" t="n">
        <v>43860</v>
      </c>
      <c r="C2142" s="1" t="n">
        <v>45210</v>
      </c>
      <c r="D2142" t="inlineStr">
        <is>
          <t>DALARNAS LÄN</t>
        </is>
      </c>
      <c r="E2142" t="inlineStr">
        <is>
          <t>HEDEMORA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5481-2020</t>
        </is>
      </c>
      <c r="B2143" s="1" t="n">
        <v>43861</v>
      </c>
      <c r="C2143" s="1" t="n">
        <v>45210</v>
      </c>
      <c r="D2143" t="inlineStr">
        <is>
          <t>DALARNAS LÄN</t>
        </is>
      </c>
      <c r="E2143" t="inlineStr">
        <is>
          <t>LUDVIKA</t>
        </is>
      </c>
      <c r="F2143" t="inlineStr">
        <is>
          <t>Bergvik skog väst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5690-2020</t>
        </is>
      </c>
      <c r="B2144" s="1" t="n">
        <v>43861</v>
      </c>
      <c r="C2144" s="1" t="n">
        <v>45210</v>
      </c>
      <c r="D2144" t="inlineStr">
        <is>
          <t>DALARNAS LÄN</t>
        </is>
      </c>
      <c r="E2144" t="inlineStr">
        <is>
          <t>GAGNEF</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5829-2020</t>
        </is>
      </c>
      <c r="B2145" s="1" t="n">
        <v>43861</v>
      </c>
      <c r="C2145" s="1" t="n">
        <v>45210</v>
      </c>
      <c r="D2145" t="inlineStr">
        <is>
          <t>DALARNAS LÄN</t>
        </is>
      </c>
      <c r="E2145" t="inlineStr">
        <is>
          <t>LUDVIKA</t>
        </is>
      </c>
      <c r="F2145" t="inlineStr">
        <is>
          <t>Bergvik skog väst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5761-2020</t>
        </is>
      </c>
      <c r="B2146" s="1" t="n">
        <v>43864</v>
      </c>
      <c r="C2146" s="1" t="n">
        <v>45210</v>
      </c>
      <c r="D2146" t="inlineStr">
        <is>
          <t>DALARNAS LÄN</t>
        </is>
      </c>
      <c r="E2146" t="inlineStr">
        <is>
          <t>RÄTTVIK</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5959-2020</t>
        </is>
      </c>
      <c r="B2147" s="1" t="n">
        <v>43864</v>
      </c>
      <c r="C2147" s="1" t="n">
        <v>45210</v>
      </c>
      <c r="D2147" t="inlineStr">
        <is>
          <t>DALARNAS LÄN</t>
        </is>
      </c>
      <c r="E2147" t="inlineStr">
        <is>
          <t>SMEDJEBACKEN</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5752-2020</t>
        </is>
      </c>
      <c r="B2148" s="1" t="n">
        <v>43864</v>
      </c>
      <c r="C2148" s="1" t="n">
        <v>45210</v>
      </c>
      <c r="D2148" t="inlineStr">
        <is>
          <t>DALARNAS LÄN</t>
        </is>
      </c>
      <c r="E2148" t="inlineStr">
        <is>
          <t>HEDEMORA</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5763-2020</t>
        </is>
      </c>
      <c r="B2149" s="1" t="n">
        <v>43864</v>
      </c>
      <c r="C2149" s="1" t="n">
        <v>45210</v>
      </c>
      <c r="D2149" t="inlineStr">
        <is>
          <t>DALARNAS LÄN</t>
        </is>
      </c>
      <c r="E2149" t="inlineStr">
        <is>
          <t>HEDEMORA</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6002-2020</t>
        </is>
      </c>
      <c r="B2150" s="1" t="n">
        <v>43864</v>
      </c>
      <c r="C2150" s="1" t="n">
        <v>45210</v>
      </c>
      <c r="D2150" t="inlineStr">
        <is>
          <t>DALARNAS LÄN</t>
        </is>
      </c>
      <c r="E2150" t="inlineStr">
        <is>
          <t>LEKSAND</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6034-2020</t>
        </is>
      </c>
      <c r="B2151" s="1" t="n">
        <v>43864</v>
      </c>
      <c r="C2151" s="1" t="n">
        <v>45210</v>
      </c>
      <c r="D2151" t="inlineStr">
        <is>
          <t>DALARNAS LÄN</t>
        </is>
      </c>
      <c r="E2151" t="inlineStr">
        <is>
          <t>RÄTTVIK</t>
        </is>
      </c>
      <c r="F2151" t="inlineStr">
        <is>
          <t>Kommuner</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5755-2020</t>
        </is>
      </c>
      <c r="B2152" s="1" t="n">
        <v>43864</v>
      </c>
      <c r="C2152" s="1" t="n">
        <v>45210</v>
      </c>
      <c r="D2152" t="inlineStr">
        <is>
          <t>DALARNAS LÄN</t>
        </is>
      </c>
      <c r="E2152" t="inlineStr">
        <is>
          <t>RÄTTVIK</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5950-2020</t>
        </is>
      </c>
      <c r="B2153" s="1" t="n">
        <v>43864</v>
      </c>
      <c r="C2153" s="1" t="n">
        <v>45210</v>
      </c>
      <c r="D2153" t="inlineStr">
        <is>
          <t>DALARNAS LÄN</t>
        </is>
      </c>
      <c r="E2153" t="inlineStr">
        <is>
          <t>HEDEMORA</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6017-2020</t>
        </is>
      </c>
      <c r="B2154" s="1" t="n">
        <v>43864</v>
      </c>
      <c r="C2154" s="1" t="n">
        <v>45210</v>
      </c>
      <c r="D2154" t="inlineStr">
        <is>
          <t>DALARNAS LÄN</t>
        </is>
      </c>
      <c r="E2154" t="inlineStr">
        <is>
          <t>LEKSAND</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6012-2020</t>
        </is>
      </c>
      <c r="B2155" s="1" t="n">
        <v>43865</v>
      </c>
      <c r="C2155" s="1" t="n">
        <v>45210</v>
      </c>
      <c r="D2155" t="inlineStr">
        <is>
          <t>DALARNAS LÄN</t>
        </is>
      </c>
      <c r="E2155" t="inlineStr">
        <is>
          <t>MORA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6597-2020</t>
        </is>
      </c>
      <c r="B2156" s="1" t="n">
        <v>43865</v>
      </c>
      <c r="C2156" s="1" t="n">
        <v>45210</v>
      </c>
      <c r="D2156" t="inlineStr">
        <is>
          <t>DALARNAS LÄN</t>
        </is>
      </c>
      <c r="E2156" t="inlineStr">
        <is>
          <t>ORSA</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6006-2020</t>
        </is>
      </c>
      <c r="B2157" s="1" t="n">
        <v>43865</v>
      </c>
      <c r="C2157" s="1" t="n">
        <v>45210</v>
      </c>
      <c r="D2157" t="inlineStr">
        <is>
          <t>DALARNAS LÄN</t>
        </is>
      </c>
      <c r="E2157" t="inlineStr">
        <is>
          <t>FALUN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6319-2020</t>
        </is>
      </c>
      <c r="B2158" s="1" t="n">
        <v>43866</v>
      </c>
      <c r="C2158" s="1" t="n">
        <v>45210</v>
      </c>
      <c r="D2158" t="inlineStr">
        <is>
          <t>DALARNAS LÄN</t>
        </is>
      </c>
      <c r="E2158" t="inlineStr">
        <is>
          <t>ÄLVDALEN</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6751-2020</t>
        </is>
      </c>
      <c r="B2159" s="1" t="n">
        <v>43866</v>
      </c>
      <c r="C2159" s="1" t="n">
        <v>45210</v>
      </c>
      <c r="D2159" t="inlineStr">
        <is>
          <t>DALARNAS LÄN</t>
        </is>
      </c>
      <c r="E2159" t="inlineStr">
        <is>
          <t>LEKSAND</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6312-2020</t>
        </is>
      </c>
      <c r="B2160" s="1" t="n">
        <v>43866</v>
      </c>
      <c r="C2160" s="1" t="n">
        <v>45210</v>
      </c>
      <c r="D2160" t="inlineStr">
        <is>
          <t>DALARNAS LÄN</t>
        </is>
      </c>
      <c r="E2160" t="inlineStr">
        <is>
          <t>SMEDJEBACKEN</t>
        </is>
      </c>
      <c r="G2160" t="n">
        <v>6.7</v>
      </c>
      <c r="H2160" t="n">
        <v>0</v>
      </c>
      <c r="I2160" t="n">
        <v>0</v>
      </c>
      <c r="J2160" t="n">
        <v>0</v>
      </c>
      <c r="K2160" t="n">
        <v>0</v>
      </c>
      <c r="L2160" t="n">
        <v>0</v>
      </c>
      <c r="M2160" t="n">
        <v>0</v>
      </c>
      <c r="N2160" t="n">
        <v>0</v>
      </c>
      <c r="O2160" t="n">
        <v>0</v>
      </c>
      <c r="P2160" t="n">
        <v>0</v>
      </c>
      <c r="Q2160" t="n">
        <v>0</v>
      </c>
      <c r="R2160" s="2" t="inlineStr"/>
    </row>
    <row r="2161" ht="15" customHeight="1">
      <c r="A2161" t="inlineStr">
        <is>
          <t>A 6317-2020</t>
        </is>
      </c>
      <c r="B2161" s="1" t="n">
        <v>43866</v>
      </c>
      <c r="C2161" s="1" t="n">
        <v>45210</v>
      </c>
      <c r="D2161" t="inlineStr">
        <is>
          <t>DALARNAS LÄN</t>
        </is>
      </c>
      <c r="E2161" t="inlineStr">
        <is>
          <t>ÄLVDALEN</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6451-2020</t>
        </is>
      </c>
      <c r="B2162" s="1" t="n">
        <v>43866</v>
      </c>
      <c r="C2162" s="1" t="n">
        <v>45210</v>
      </c>
      <c r="D2162" t="inlineStr">
        <is>
          <t>DALARNAS LÄN</t>
        </is>
      </c>
      <c r="E2162" t="inlineStr">
        <is>
          <t>GAGNEF</t>
        </is>
      </c>
      <c r="G2162" t="n">
        <v>5</v>
      </c>
      <c r="H2162" t="n">
        <v>0</v>
      </c>
      <c r="I2162" t="n">
        <v>0</v>
      </c>
      <c r="J2162" t="n">
        <v>0</v>
      </c>
      <c r="K2162" t="n">
        <v>0</v>
      </c>
      <c r="L2162" t="n">
        <v>0</v>
      </c>
      <c r="M2162" t="n">
        <v>0</v>
      </c>
      <c r="N2162" t="n">
        <v>0</v>
      </c>
      <c r="O2162" t="n">
        <v>0</v>
      </c>
      <c r="P2162" t="n">
        <v>0</v>
      </c>
      <c r="Q2162" t="n">
        <v>0</v>
      </c>
      <c r="R2162" s="2" t="inlineStr"/>
    </row>
    <row r="2163" ht="15" customHeight="1">
      <c r="A2163" t="inlineStr">
        <is>
          <t>A 6772-2020</t>
        </is>
      </c>
      <c r="B2163" s="1" t="n">
        <v>43867</v>
      </c>
      <c r="C2163" s="1" t="n">
        <v>45210</v>
      </c>
      <c r="D2163" t="inlineStr">
        <is>
          <t>DALARNAS LÄN</t>
        </is>
      </c>
      <c r="E2163" t="inlineStr">
        <is>
          <t>RÄTTVIK</t>
        </is>
      </c>
      <c r="F2163" t="inlineStr">
        <is>
          <t>Sveaskog</t>
        </is>
      </c>
      <c r="G2163" t="n">
        <v>14.8</v>
      </c>
      <c r="H2163" t="n">
        <v>0</v>
      </c>
      <c r="I2163" t="n">
        <v>0</v>
      </c>
      <c r="J2163" t="n">
        <v>0</v>
      </c>
      <c r="K2163" t="n">
        <v>0</v>
      </c>
      <c r="L2163" t="n">
        <v>0</v>
      </c>
      <c r="M2163" t="n">
        <v>0</v>
      </c>
      <c r="N2163" t="n">
        <v>0</v>
      </c>
      <c r="O2163" t="n">
        <v>0</v>
      </c>
      <c r="P2163" t="n">
        <v>0</v>
      </c>
      <c r="Q2163" t="n">
        <v>0</v>
      </c>
      <c r="R2163" s="2" t="inlineStr"/>
    </row>
    <row r="2164" ht="15" customHeight="1">
      <c r="A2164" t="inlineStr">
        <is>
          <t>A 6795-2020</t>
        </is>
      </c>
      <c r="B2164" s="1" t="n">
        <v>43867</v>
      </c>
      <c r="C2164" s="1" t="n">
        <v>45210</v>
      </c>
      <c r="D2164" t="inlineStr">
        <is>
          <t>DALARNAS LÄN</t>
        </is>
      </c>
      <c r="E2164" t="inlineStr">
        <is>
          <t>HEDEMORA</t>
        </is>
      </c>
      <c r="F2164" t="inlineStr">
        <is>
          <t>Sveaskog</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6794-2020</t>
        </is>
      </c>
      <c r="B2165" s="1" t="n">
        <v>43867</v>
      </c>
      <c r="C2165" s="1" t="n">
        <v>45210</v>
      </c>
      <c r="D2165" t="inlineStr">
        <is>
          <t>DALARNAS LÄN</t>
        </is>
      </c>
      <c r="E2165" t="inlineStr">
        <is>
          <t>HEDEMORA</t>
        </is>
      </c>
      <c r="F2165" t="inlineStr">
        <is>
          <t>Sveaskog</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6833-2020</t>
        </is>
      </c>
      <c r="B2166" s="1" t="n">
        <v>43868</v>
      </c>
      <c r="C2166" s="1" t="n">
        <v>45210</v>
      </c>
      <c r="D2166" t="inlineStr">
        <is>
          <t>DALARNAS LÄN</t>
        </is>
      </c>
      <c r="E2166" t="inlineStr">
        <is>
          <t>FALUN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7010-2020</t>
        </is>
      </c>
      <c r="B2167" s="1" t="n">
        <v>43868</v>
      </c>
      <c r="C2167" s="1" t="n">
        <v>45210</v>
      </c>
      <c r="D2167" t="inlineStr">
        <is>
          <t>DALARNAS LÄN</t>
        </is>
      </c>
      <c r="E2167" t="inlineStr">
        <is>
          <t>LUDVIKA</t>
        </is>
      </c>
      <c r="F2167" t="inlineStr">
        <is>
          <t>Bergvik skog väst AB</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7093-2020</t>
        </is>
      </c>
      <c r="B2168" s="1" t="n">
        <v>43868</v>
      </c>
      <c r="C2168" s="1" t="n">
        <v>45210</v>
      </c>
      <c r="D2168" t="inlineStr">
        <is>
          <t>DALARNAS LÄN</t>
        </is>
      </c>
      <c r="E2168" t="inlineStr">
        <is>
          <t>MORA</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6948-2020</t>
        </is>
      </c>
      <c r="B2169" s="1" t="n">
        <v>43868</v>
      </c>
      <c r="C2169" s="1" t="n">
        <v>45210</v>
      </c>
      <c r="D2169" t="inlineStr">
        <is>
          <t>DALARNAS LÄN</t>
        </is>
      </c>
      <c r="E2169" t="inlineStr">
        <is>
          <t>LUDVIKA</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7382-2020</t>
        </is>
      </c>
      <c r="B2170" s="1" t="n">
        <v>43871</v>
      </c>
      <c r="C2170" s="1" t="n">
        <v>45210</v>
      </c>
      <c r="D2170" t="inlineStr">
        <is>
          <t>DALARNAS LÄN</t>
        </is>
      </c>
      <c r="E2170" t="inlineStr">
        <is>
          <t>MORA</t>
        </is>
      </c>
      <c r="F2170" t="inlineStr">
        <is>
          <t>Bergvik skog väst AB</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7249-2020</t>
        </is>
      </c>
      <c r="B2171" s="1" t="n">
        <v>43871</v>
      </c>
      <c r="C2171" s="1" t="n">
        <v>45210</v>
      </c>
      <c r="D2171" t="inlineStr">
        <is>
          <t>DALARNAS LÄN</t>
        </is>
      </c>
      <c r="E2171" t="inlineStr">
        <is>
          <t>ORSA</t>
        </is>
      </c>
      <c r="G2171" t="n">
        <v>8.300000000000001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7402-2020</t>
        </is>
      </c>
      <c r="B2172" s="1" t="n">
        <v>43871</v>
      </c>
      <c r="C2172" s="1" t="n">
        <v>45210</v>
      </c>
      <c r="D2172" t="inlineStr">
        <is>
          <t>DALARNAS LÄN</t>
        </is>
      </c>
      <c r="E2172" t="inlineStr">
        <is>
          <t>RÄTTVIK</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7434-2020</t>
        </is>
      </c>
      <c r="B2173" s="1" t="n">
        <v>43871</v>
      </c>
      <c r="C2173" s="1" t="n">
        <v>45210</v>
      </c>
      <c r="D2173" t="inlineStr">
        <is>
          <t>DALARNAS LÄN</t>
        </is>
      </c>
      <c r="E2173" t="inlineStr">
        <is>
          <t>HEDEMORA</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7209-2020</t>
        </is>
      </c>
      <c r="B2174" s="1" t="n">
        <v>43871</v>
      </c>
      <c r="C2174" s="1" t="n">
        <v>45210</v>
      </c>
      <c r="D2174" t="inlineStr">
        <is>
          <t>DALARNAS LÄN</t>
        </is>
      </c>
      <c r="E2174" t="inlineStr">
        <is>
          <t>HEDEMORA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7351-2020</t>
        </is>
      </c>
      <c r="B2175" s="1" t="n">
        <v>43871</v>
      </c>
      <c r="C2175" s="1" t="n">
        <v>45210</v>
      </c>
      <c r="D2175" t="inlineStr">
        <is>
          <t>DALARNAS LÄN</t>
        </is>
      </c>
      <c r="E2175" t="inlineStr">
        <is>
          <t>LEKSAND</t>
        </is>
      </c>
      <c r="F2175" t="inlineStr">
        <is>
          <t>Bergvik skog väst AB</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7709-2020</t>
        </is>
      </c>
      <c r="B2176" s="1" t="n">
        <v>43872</v>
      </c>
      <c r="C2176" s="1" t="n">
        <v>45210</v>
      </c>
      <c r="D2176" t="inlineStr">
        <is>
          <t>DALARNAS LÄN</t>
        </is>
      </c>
      <c r="E2176" t="inlineStr">
        <is>
          <t>LUDVIKA</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7519-2020</t>
        </is>
      </c>
      <c r="B2177" s="1" t="n">
        <v>43872</v>
      </c>
      <c r="C2177" s="1" t="n">
        <v>45210</v>
      </c>
      <c r="D2177" t="inlineStr">
        <is>
          <t>DALARNAS LÄN</t>
        </is>
      </c>
      <c r="E2177" t="inlineStr">
        <is>
          <t>RÄTTVIK</t>
        </is>
      </c>
      <c r="F2177" t="inlineStr">
        <is>
          <t>Kyrkan</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7721-2020</t>
        </is>
      </c>
      <c r="B2178" s="1" t="n">
        <v>43872</v>
      </c>
      <c r="C2178" s="1" t="n">
        <v>45210</v>
      </c>
      <c r="D2178" t="inlineStr">
        <is>
          <t>DALARNAS LÄN</t>
        </is>
      </c>
      <c r="E2178" t="inlineStr">
        <is>
          <t>SMEDJEBACKEN</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7518-2020</t>
        </is>
      </c>
      <c r="B2179" s="1" t="n">
        <v>43872</v>
      </c>
      <c r="C2179" s="1" t="n">
        <v>45210</v>
      </c>
      <c r="D2179" t="inlineStr">
        <is>
          <t>DALARNAS LÄN</t>
        </is>
      </c>
      <c r="E2179" t="inlineStr">
        <is>
          <t>VANSBRO</t>
        </is>
      </c>
      <c r="F2179" t="inlineStr">
        <is>
          <t>Bergvik skog väst AB</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7851-2020</t>
        </is>
      </c>
      <c r="B2180" s="1" t="n">
        <v>43873</v>
      </c>
      <c r="C2180" s="1" t="n">
        <v>45210</v>
      </c>
      <c r="D2180" t="inlineStr">
        <is>
          <t>DALARNAS LÄN</t>
        </is>
      </c>
      <c r="E2180" t="inlineStr">
        <is>
          <t>LUDVIKA</t>
        </is>
      </c>
      <c r="F2180" t="inlineStr">
        <is>
          <t>Naturvårdsverket</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7979-2020</t>
        </is>
      </c>
      <c r="B2181" s="1" t="n">
        <v>43873</v>
      </c>
      <c r="C2181" s="1" t="n">
        <v>45210</v>
      </c>
      <c r="D2181" t="inlineStr">
        <is>
          <t>DALARNAS LÄN</t>
        </is>
      </c>
      <c r="E2181" t="inlineStr">
        <is>
          <t>ORSA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8212-2020</t>
        </is>
      </c>
      <c r="B2182" s="1" t="n">
        <v>43873</v>
      </c>
      <c r="C2182" s="1" t="n">
        <v>45210</v>
      </c>
      <c r="D2182" t="inlineStr">
        <is>
          <t>DALARNAS LÄN</t>
        </is>
      </c>
      <c r="E2182" t="inlineStr">
        <is>
          <t>RÄTTVIK</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7868-2020</t>
        </is>
      </c>
      <c r="B2183" s="1" t="n">
        <v>43873</v>
      </c>
      <c r="C2183" s="1" t="n">
        <v>45210</v>
      </c>
      <c r="D2183" t="inlineStr">
        <is>
          <t>DALARNAS LÄN</t>
        </is>
      </c>
      <c r="E2183" t="inlineStr">
        <is>
          <t>LEKSAND</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8030-2020</t>
        </is>
      </c>
      <c r="B2184" s="1" t="n">
        <v>43873</v>
      </c>
      <c r="C2184" s="1" t="n">
        <v>45210</v>
      </c>
      <c r="D2184" t="inlineStr">
        <is>
          <t>DALARNAS LÄN</t>
        </is>
      </c>
      <c r="E2184" t="inlineStr">
        <is>
          <t>RÄTTVIK</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8216-2020</t>
        </is>
      </c>
      <c r="B2185" s="1" t="n">
        <v>43873</v>
      </c>
      <c r="C2185" s="1" t="n">
        <v>45210</v>
      </c>
      <c r="D2185" t="inlineStr">
        <is>
          <t>DALARNAS LÄN</t>
        </is>
      </c>
      <c r="E2185" t="inlineStr">
        <is>
          <t>RÄTTVIK</t>
        </is>
      </c>
      <c r="G2185" t="n">
        <v>4.7</v>
      </c>
      <c r="H2185" t="n">
        <v>0</v>
      </c>
      <c r="I2185" t="n">
        <v>0</v>
      </c>
      <c r="J2185" t="n">
        <v>0</v>
      </c>
      <c r="K2185" t="n">
        <v>0</v>
      </c>
      <c r="L2185" t="n">
        <v>0</v>
      </c>
      <c r="M2185" t="n">
        <v>0</v>
      </c>
      <c r="N2185" t="n">
        <v>0</v>
      </c>
      <c r="O2185" t="n">
        <v>0</v>
      </c>
      <c r="P2185" t="n">
        <v>0</v>
      </c>
      <c r="Q2185" t="n">
        <v>0</v>
      </c>
      <c r="R2185" s="2" t="inlineStr"/>
    </row>
    <row r="2186" ht="15" customHeight="1">
      <c r="A2186" t="inlineStr">
        <is>
          <t>A 8181-2020</t>
        </is>
      </c>
      <c r="B2186" s="1" t="n">
        <v>43874</v>
      </c>
      <c r="C2186" s="1" t="n">
        <v>45210</v>
      </c>
      <c r="D2186" t="inlineStr">
        <is>
          <t>DALARNAS LÄN</t>
        </is>
      </c>
      <c r="E2186" t="inlineStr">
        <is>
          <t>HEDEMORA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8204-2020</t>
        </is>
      </c>
      <c r="B2187" s="1" t="n">
        <v>43874</v>
      </c>
      <c r="C2187" s="1" t="n">
        <v>45210</v>
      </c>
      <c r="D2187" t="inlineStr">
        <is>
          <t>DALARNAS LÄN</t>
        </is>
      </c>
      <c r="E2187" t="inlineStr">
        <is>
          <t>RÄTTVIK</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8494-2020</t>
        </is>
      </c>
      <c r="B2188" s="1" t="n">
        <v>43875</v>
      </c>
      <c r="C2188" s="1" t="n">
        <v>45210</v>
      </c>
      <c r="D2188" t="inlineStr">
        <is>
          <t>DALARNAS LÄN</t>
        </is>
      </c>
      <c r="E2188" t="inlineStr">
        <is>
          <t>HEDEMORA</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8489-2020</t>
        </is>
      </c>
      <c r="B2189" s="1" t="n">
        <v>43875</v>
      </c>
      <c r="C2189" s="1" t="n">
        <v>45210</v>
      </c>
      <c r="D2189" t="inlineStr">
        <is>
          <t>DALARNAS LÄN</t>
        </is>
      </c>
      <c r="E2189" t="inlineStr">
        <is>
          <t>HEDEMORA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8728-2020</t>
        </is>
      </c>
      <c r="B2190" s="1" t="n">
        <v>43878</v>
      </c>
      <c r="C2190" s="1" t="n">
        <v>45210</v>
      </c>
      <c r="D2190" t="inlineStr">
        <is>
          <t>DALARNAS LÄN</t>
        </is>
      </c>
      <c r="E2190" t="inlineStr">
        <is>
          <t>MALUNG-SÄLEN</t>
        </is>
      </c>
      <c r="F2190" t="inlineStr">
        <is>
          <t>Bergvik skog öst AB</t>
        </is>
      </c>
      <c r="G2190" t="n">
        <v>5.8</v>
      </c>
      <c r="H2190" t="n">
        <v>0</v>
      </c>
      <c r="I2190" t="n">
        <v>0</v>
      </c>
      <c r="J2190" t="n">
        <v>0</v>
      </c>
      <c r="K2190" t="n">
        <v>0</v>
      </c>
      <c r="L2190" t="n">
        <v>0</v>
      </c>
      <c r="M2190" t="n">
        <v>0</v>
      </c>
      <c r="N2190" t="n">
        <v>0</v>
      </c>
      <c r="O2190" t="n">
        <v>0</v>
      </c>
      <c r="P2190" t="n">
        <v>0</v>
      </c>
      <c r="Q2190" t="n">
        <v>0</v>
      </c>
      <c r="R2190" s="2" t="inlineStr"/>
    </row>
    <row r="2191" ht="15" customHeight="1">
      <c r="A2191" t="inlineStr">
        <is>
          <t>A 8737-2020</t>
        </is>
      </c>
      <c r="B2191" s="1" t="n">
        <v>43878</v>
      </c>
      <c r="C2191" s="1" t="n">
        <v>45210</v>
      </c>
      <c r="D2191" t="inlineStr">
        <is>
          <t>DALARNAS LÄN</t>
        </is>
      </c>
      <c r="E2191" t="inlineStr">
        <is>
          <t>MALUNG-SÄLEN</t>
        </is>
      </c>
      <c r="F2191" t="inlineStr">
        <is>
          <t>Bergvik skog öst AB</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8864-2020</t>
        </is>
      </c>
      <c r="B2192" s="1" t="n">
        <v>43878</v>
      </c>
      <c r="C2192" s="1" t="n">
        <v>45210</v>
      </c>
      <c r="D2192" t="inlineStr">
        <is>
          <t>DALARNAS LÄN</t>
        </is>
      </c>
      <c r="E2192" t="inlineStr">
        <is>
          <t>ÄLVDALEN</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8704-2020</t>
        </is>
      </c>
      <c r="B2193" s="1" t="n">
        <v>43878</v>
      </c>
      <c r="C2193" s="1" t="n">
        <v>45210</v>
      </c>
      <c r="D2193" t="inlineStr">
        <is>
          <t>DALARNAS LÄN</t>
        </is>
      </c>
      <c r="E2193" t="inlineStr">
        <is>
          <t>RÄTTVIK</t>
        </is>
      </c>
      <c r="G2193" t="n">
        <v>11.1</v>
      </c>
      <c r="H2193" t="n">
        <v>0</v>
      </c>
      <c r="I2193" t="n">
        <v>0</v>
      </c>
      <c r="J2193" t="n">
        <v>0</v>
      </c>
      <c r="K2193" t="n">
        <v>0</v>
      </c>
      <c r="L2193" t="n">
        <v>0</v>
      </c>
      <c r="M2193" t="n">
        <v>0</v>
      </c>
      <c r="N2193" t="n">
        <v>0</v>
      </c>
      <c r="O2193" t="n">
        <v>0</v>
      </c>
      <c r="P2193" t="n">
        <v>0</v>
      </c>
      <c r="Q2193" t="n">
        <v>0</v>
      </c>
      <c r="R2193" s="2" t="inlineStr"/>
    </row>
    <row r="2194" ht="15" customHeight="1">
      <c r="A2194" t="inlineStr">
        <is>
          <t>A 8751-2020</t>
        </is>
      </c>
      <c r="B2194" s="1" t="n">
        <v>43878</v>
      </c>
      <c r="C2194" s="1" t="n">
        <v>45210</v>
      </c>
      <c r="D2194" t="inlineStr">
        <is>
          <t>DALARNAS LÄN</t>
        </is>
      </c>
      <c r="E2194" t="inlineStr">
        <is>
          <t>ÄLVDALEN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9042-2020</t>
        </is>
      </c>
      <c r="B2195" s="1" t="n">
        <v>43879</v>
      </c>
      <c r="C2195" s="1" t="n">
        <v>45210</v>
      </c>
      <c r="D2195" t="inlineStr">
        <is>
          <t>DALARNAS LÄN</t>
        </is>
      </c>
      <c r="E2195" t="inlineStr">
        <is>
          <t>HEDEMORA</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9161-2020</t>
        </is>
      </c>
      <c r="B2196" s="1" t="n">
        <v>43879</v>
      </c>
      <c r="C2196" s="1" t="n">
        <v>45210</v>
      </c>
      <c r="D2196" t="inlineStr">
        <is>
          <t>DALARNAS LÄN</t>
        </is>
      </c>
      <c r="E2196" t="inlineStr">
        <is>
          <t>RÄTTVIK</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9054-2020</t>
        </is>
      </c>
      <c r="B2197" s="1" t="n">
        <v>43879</v>
      </c>
      <c r="C2197" s="1" t="n">
        <v>45210</v>
      </c>
      <c r="D2197" t="inlineStr">
        <is>
          <t>DALARNAS LÄN</t>
        </is>
      </c>
      <c r="E2197" t="inlineStr">
        <is>
          <t>HEDEMORA</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9466-2020</t>
        </is>
      </c>
      <c r="B2198" s="1" t="n">
        <v>43880</v>
      </c>
      <c r="C2198" s="1" t="n">
        <v>45210</v>
      </c>
      <c r="D2198" t="inlineStr">
        <is>
          <t>DALARNAS LÄN</t>
        </is>
      </c>
      <c r="E2198" t="inlineStr">
        <is>
          <t>RÄTTVIK</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9710-2020</t>
        </is>
      </c>
      <c r="B2199" s="1" t="n">
        <v>43881</v>
      </c>
      <c r="C2199" s="1" t="n">
        <v>45210</v>
      </c>
      <c r="D2199" t="inlineStr">
        <is>
          <t>DALARNAS LÄN</t>
        </is>
      </c>
      <c r="E2199" t="inlineStr">
        <is>
          <t>LEKSAND</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9714-2020</t>
        </is>
      </c>
      <c r="B2200" s="1" t="n">
        <v>43881</v>
      </c>
      <c r="C2200" s="1" t="n">
        <v>45210</v>
      </c>
      <c r="D2200" t="inlineStr">
        <is>
          <t>DALARNAS LÄN</t>
        </is>
      </c>
      <c r="E2200" t="inlineStr">
        <is>
          <t>HEDEMORA</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9805-2020</t>
        </is>
      </c>
      <c r="B2201" s="1" t="n">
        <v>43881</v>
      </c>
      <c r="C2201" s="1" t="n">
        <v>45210</v>
      </c>
      <c r="D2201" t="inlineStr">
        <is>
          <t>DALARNAS LÄN</t>
        </is>
      </c>
      <c r="E2201" t="inlineStr">
        <is>
          <t>LUDVIKA</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9950-2020</t>
        </is>
      </c>
      <c r="B2202" s="1" t="n">
        <v>43882</v>
      </c>
      <c r="C2202" s="1" t="n">
        <v>45210</v>
      </c>
      <c r="D2202" t="inlineStr">
        <is>
          <t>DALARNAS LÄN</t>
        </is>
      </c>
      <c r="E2202" t="inlineStr">
        <is>
          <t>SMEDJEBACKEN</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9932-2020</t>
        </is>
      </c>
      <c r="B2203" s="1" t="n">
        <v>43882</v>
      </c>
      <c r="C2203" s="1" t="n">
        <v>45210</v>
      </c>
      <c r="D2203" t="inlineStr">
        <is>
          <t>DALARNAS LÄN</t>
        </is>
      </c>
      <c r="E2203" t="inlineStr">
        <is>
          <t>LUDVIKA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10047-2020</t>
        </is>
      </c>
      <c r="B2204" s="1" t="n">
        <v>43882</v>
      </c>
      <c r="C2204" s="1" t="n">
        <v>45210</v>
      </c>
      <c r="D2204" t="inlineStr">
        <is>
          <t>DALARNAS LÄN</t>
        </is>
      </c>
      <c r="E2204" t="inlineStr">
        <is>
          <t>ÄLVDALEN</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10881-2020</t>
        </is>
      </c>
      <c r="B2205" s="1" t="n">
        <v>43885</v>
      </c>
      <c r="C2205" s="1" t="n">
        <v>45210</v>
      </c>
      <c r="D2205" t="inlineStr">
        <is>
          <t>DALARNAS LÄN</t>
        </is>
      </c>
      <c r="E2205" t="inlineStr">
        <is>
          <t>AVESTA</t>
        </is>
      </c>
      <c r="G2205" t="n">
        <v>11.4</v>
      </c>
      <c r="H2205" t="n">
        <v>0</v>
      </c>
      <c r="I2205" t="n">
        <v>0</v>
      </c>
      <c r="J2205" t="n">
        <v>0</v>
      </c>
      <c r="K2205" t="n">
        <v>0</v>
      </c>
      <c r="L2205" t="n">
        <v>0</v>
      </c>
      <c r="M2205" t="n">
        <v>0</v>
      </c>
      <c r="N2205" t="n">
        <v>0</v>
      </c>
      <c r="O2205" t="n">
        <v>0</v>
      </c>
      <c r="P2205" t="n">
        <v>0</v>
      </c>
      <c r="Q2205" t="n">
        <v>0</v>
      </c>
      <c r="R2205" s="2" t="inlineStr"/>
    </row>
    <row r="2206" ht="15" customHeight="1">
      <c r="A2206" t="inlineStr">
        <is>
          <t>A 10716-2020</t>
        </is>
      </c>
      <c r="B2206" s="1" t="n">
        <v>43885</v>
      </c>
      <c r="C2206" s="1" t="n">
        <v>45210</v>
      </c>
      <c r="D2206" t="inlineStr">
        <is>
          <t>DALARNAS LÄN</t>
        </is>
      </c>
      <c r="E2206" t="inlineStr">
        <is>
          <t>SMEDJEBACKEN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10510-2020</t>
        </is>
      </c>
      <c r="B2207" s="1" t="n">
        <v>43886</v>
      </c>
      <c r="C2207" s="1" t="n">
        <v>45210</v>
      </c>
      <c r="D2207" t="inlineStr">
        <is>
          <t>DALARNAS LÄN</t>
        </is>
      </c>
      <c r="E2207" t="inlineStr">
        <is>
          <t>FALUN</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10518-2020</t>
        </is>
      </c>
      <c r="B2208" s="1" t="n">
        <v>43886</v>
      </c>
      <c r="C2208" s="1" t="n">
        <v>45210</v>
      </c>
      <c r="D2208" t="inlineStr">
        <is>
          <t>DALARNAS LÄN</t>
        </is>
      </c>
      <c r="E2208" t="inlineStr">
        <is>
          <t>FALUN</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10523-2020</t>
        </is>
      </c>
      <c r="B2209" s="1" t="n">
        <v>43886</v>
      </c>
      <c r="C2209" s="1" t="n">
        <v>45210</v>
      </c>
      <c r="D2209" t="inlineStr">
        <is>
          <t>DALARNAS LÄN</t>
        </is>
      </c>
      <c r="E2209" t="inlineStr">
        <is>
          <t>VANSBRO</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10532-2020</t>
        </is>
      </c>
      <c r="B2210" s="1" t="n">
        <v>43886</v>
      </c>
      <c r="C2210" s="1" t="n">
        <v>45210</v>
      </c>
      <c r="D2210" t="inlineStr">
        <is>
          <t>DALARNAS LÄN</t>
        </is>
      </c>
      <c r="E2210" t="inlineStr">
        <is>
          <t>VANSBRO</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11304-2020</t>
        </is>
      </c>
      <c r="B2211" s="1" t="n">
        <v>43886</v>
      </c>
      <c r="C2211" s="1" t="n">
        <v>45210</v>
      </c>
      <c r="D2211" t="inlineStr">
        <is>
          <t>DALARNAS LÄN</t>
        </is>
      </c>
      <c r="E2211" t="inlineStr">
        <is>
          <t>SMEDJEBACKEN</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11310-2020</t>
        </is>
      </c>
      <c r="B2212" s="1" t="n">
        <v>43886</v>
      </c>
      <c r="C2212" s="1" t="n">
        <v>45210</v>
      </c>
      <c r="D2212" t="inlineStr">
        <is>
          <t>DALARNAS LÄN</t>
        </is>
      </c>
      <c r="E2212" t="inlineStr">
        <is>
          <t>AVESTA</t>
        </is>
      </c>
      <c r="F2212" t="inlineStr">
        <is>
          <t>Bergvik skog väst AB</t>
        </is>
      </c>
      <c r="G2212" t="n">
        <v>5.1</v>
      </c>
      <c r="H2212" t="n">
        <v>0</v>
      </c>
      <c r="I2212" t="n">
        <v>0</v>
      </c>
      <c r="J2212" t="n">
        <v>0</v>
      </c>
      <c r="K2212" t="n">
        <v>0</v>
      </c>
      <c r="L2212" t="n">
        <v>0</v>
      </c>
      <c r="M2212" t="n">
        <v>0</v>
      </c>
      <c r="N2212" t="n">
        <v>0</v>
      </c>
      <c r="O2212" t="n">
        <v>0</v>
      </c>
      <c r="P2212" t="n">
        <v>0</v>
      </c>
      <c r="Q2212" t="n">
        <v>0</v>
      </c>
      <c r="R2212" s="2" t="inlineStr"/>
    </row>
    <row r="2213" ht="15" customHeight="1">
      <c r="A2213" t="inlineStr">
        <is>
          <t>A 10447-2020</t>
        </is>
      </c>
      <c r="B2213" s="1" t="n">
        <v>43886</v>
      </c>
      <c r="C2213" s="1" t="n">
        <v>45210</v>
      </c>
      <c r="D2213" t="inlineStr">
        <is>
          <t>DALARNAS LÄN</t>
        </is>
      </c>
      <c r="E2213" t="inlineStr">
        <is>
          <t>MALUNG-SÄLEN</t>
        </is>
      </c>
      <c r="F2213" t="inlineStr">
        <is>
          <t>Bergvik skog öst AB</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10507-2020</t>
        </is>
      </c>
      <c r="B2214" s="1" t="n">
        <v>43886</v>
      </c>
      <c r="C2214" s="1" t="n">
        <v>45210</v>
      </c>
      <c r="D2214" t="inlineStr">
        <is>
          <t>DALARNAS LÄN</t>
        </is>
      </c>
      <c r="E2214" t="inlineStr">
        <is>
          <t>HEDEMORA</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10104-2020</t>
        </is>
      </c>
      <c r="B2215" s="1" t="n">
        <v>43887</v>
      </c>
      <c r="C2215" s="1" t="n">
        <v>45210</v>
      </c>
      <c r="D2215" t="inlineStr">
        <is>
          <t>DALARNAS LÄN</t>
        </is>
      </c>
      <c r="E2215" t="inlineStr">
        <is>
          <t>SMEDJEBACKEN</t>
        </is>
      </c>
      <c r="F2215" t="inlineStr">
        <is>
          <t>Bergvik skog väst AB</t>
        </is>
      </c>
      <c r="G2215" t="n">
        <v>2.9</v>
      </c>
      <c r="H2215" t="n">
        <v>0</v>
      </c>
      <c r="I2215" t="n">
        <v>0</v>
      </c>
      <c r="J2215" t="n">
        <v>0</v>
      </c>
      <c r="K2215" t="n">
        <v>0</v>
      </c>
      <c r="L2215" t="n">
        <v>0</v>
      </c>
      <c r="M2215" t="n">
        <v>0</v>
      </c>
      <c r="N2215" t="n">
        <v>0</v>
      </c>
      <c r="O2215" t="n">
        <v>0</v>
      </c>
      <c r="P2215" t="n">
        <v>0</v>
      </c>
      <c r="Q2215" t="n">
        <v>0</v>
      </c>
      <c r="R2215" s="2" t="inlineStr"/>
    </row>
    <row r="2216" ht="15" customHeight="1">
      <c r="A2216" t="inlineStr">
        <is>
          <t>A 10562-2020</t>
        </is>
      </c>
      <c r="B2216" s="1" t="n">
        <v>43887</v>
      </c>
      <c r="C2216" s="1" t="n">
        <v>45210</v>
      </c>
      <c r="D2216" t="inlineStr">
        <is>
          <t>DALARNAS LÄN</t>
        </is>
      </c>
      <c r="E2216" t="inlineStr">
        <is>
          <t>SMEDJEBACKEN</t>
        </is>
      </c>
      <c r="F2216" t="inlineStr">
        <is>
          <t>Sveaskog</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10600-2020</t>
        </is>
      </c>
      <c r="B2217" s="1" t="n">
        <v>43887</v>
      </c>
      <c r="C2217" s="1" t="n">
        <v>45210</v>
      </c>
      <c r="D2217" t="inlineStr">
        <is>
          <t>DALARNAS LÄN</t>
        </is>
      </c>
      <c r="E2217" t="inlineStr">
        <is>
          <t>LUDVIKA</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10578-2020</t>
        </is>
      </c>
      <c r="B2218" s="1" t="n">
        <v>43887</v>
      </c>
      <c r="C2218" s="1" t="n">
        <v>45210</v>
      </c>
      <c r="D2218" t="inlineStr">
        <is>
          <t>DALARNAS LÄN</t>
        </is>
      </c>
      <c r="E2218" t="inlineStr">
        <is>
          <t>LUDVIKA</t>
        </is>
      </c>
      <c r="F2218" t="inlineStr">
        <is>
          <t>Bergvik skog väst AB</t>
        </is>
      </c>
      <c r="G2218" t="n">
        <v>3.3</v>
      </c>
      <c r="H2218" t="n">
        <v>0</v>
      </c>
      <c r="I2218" t="n">
        <v>0</v>
      </c>
      <c r="J2218" t="n">
        <v>0</v>
      </c>
      <c r="K2218" t="n">
        <v>0</v>
      </c>
      <c r="L2218" t="n">
        <v>0</v>
      </c>
      <c r="M2218" t="n">
        <v>0</v>
      </c>
      <c r="N2218" t="n">
        <v>0</v>
      </c>
      <c r="O2218" t="n">
        <v>0</v>
      </c>
      <c r="P2218" t="n">
        <v>0</v>
      </c>
      <c r="Q2218" t="n">
        <v>0</v>
      </c>
      <c r="R2218" s="2" t="inlineStr"/>
    </row>
    <row r="2219" ht="15" customHeight="1">
      <c r="A2219" t="inlineStr">
        <is>
          <t>A 10605-2020</t>
        </is>
      </c>
      <c r="B2219" s="1" t="n">
        <v>43887</v>
      </c>
      <c r="C2219" s="1" t="n">
        <v>45210</v>
      </c>
      <c r="D2219" t="inlineStr">
        <is>
          <t>DALARNAS LÄN</t>
        </is>
      </c>
      <c r="E2219" t="inlineStr">
        <is>
          <t>SMEDJEBACKEN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10582-2020</t>
        </is>
      </c>
      <c r="B2220" s="1" t="n">
        <v>43887</v>
      </c>
      <c r="C2220" s="1" t="n">
        <v>45210</v>
      </c>
      <c r="D2220" t="inlineStr">
        <is>
          <t>DALARNAS LÄN</t>
        </is>
      </c>
      <c r="E2220" t="inlineStr">
        <is>
          <t>SMEDJEBACKEN</t>
        </is>
      </c>
      <c r="F2220" t="inlineStr">
        <is>
          <t>Sveaskog</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10700-2020</t>
        </is>
      </c>
      <c r="B2221" s="1" t="n">
        <v>43888</v>
      </c>
      <c r="C2221" s="1" t="n">
        <v>45210</v>
      </c>
      <c r="D2221" t="inlineStr">
        <is>
          <t>DALARNAS LÄN</t>
        </is>
      </c>
      <c r="E2221" t="inlineStr">
        <is>
          <t>FALUN</t>
        </is>
      </c>
      <c r="G2221" t="n">
        <v>13.4</v>
      </c>
      <c r="H2221" t="n">
        <v>0</v>
      </c>
      <c r="I2221" t="n">
        <v>0</v>
      </c>
      <c r="J2221" t="n">
        <v>0</v>
      </c>
      <c r="K2221" t="n">
        <v>0</v>
      </c>
      <c r="L2221" t="n">
        <v>0</v>
      </c>
      <c r="M2221" t="n">
        <v>0</v>
      </c>
      <c r="N2221" t="n">
        <v>0</v>
      </c>
      <c r="O2221" t="n">
        <v>0</v>
      </c>
      <c r="P2221" t="n">
        <v>0</v>
      </c>
      <c r="Q2221" t="n">
        <v>0</v>
      </c>
      <c r="R2221" s="2" t="inlineStr"/>
    </row>
    <row r="2222" ht="15" customHeight="1">
      <c r="A2222" t="inlineStr">
        <is>
          <t>A 10772-2020</t>
        </is>
      </c>
      <c r="B2222" s="1" t="n">
        <v>43888</v>
      </c>
      <c r="C2222" s="1" t="n">
        <v>45210</v>
      </c>
      <c r="D2222" t="inlineStr">
        <is>
          <t>DALARNAS LÄN</t>
        </is>
      </c>
      <c r="E2222" t="inlineStr">
        <is>
          <t>SMEDJEBACKEN</t>
        </is>
      </c>
      <c r="F2222" t="inlineStr">
        <is>
          <t>Övriga Aktiebolag</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10681-2020</t>
        </is>
      </c>
      <c r="B2223" s="1" t="n">
        <v>43888</v>
      </c>
      <c r="C2223" s="1" t="n">
        <v>45210</v>
      </c>
      <c r="D2223" t="inlineStr">
        <is>
          <t>DALARNAS LÄN</t>
        </is>
      </c>
      <c r="E2223" t="inlineStr">
        <is>
          <t>FALUN</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10730-2020</t>
        </is>
      </c>
      <c r="B2224" s="1" t="n">
        <v>43888</v>
      </c>
      <c r="C2224" s="1" t="n">
        <v>45210</v>
      </c>
      <c r="D2224" t="inlineStr">
        <is>
          <t>DALARNAS LÄN</t>
        </is>
      </c>
      <c r="E2224" t="inlineStr">
        <is>
          <t>FALUN</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10704-2020</t>
        </is>
      </c>
      <c r="B2225" s="1" t="n">
        <v>43888</v>
      </c>
      <c r="C2225" s="1" t="n">
        <v>45210</v>
      </c>
      <c r="D2225" t="inlineStr">
        <is>
          <t>DALARNAS LÄN</t>
        </is>
      </c>
      <c r="E2225" t="inlineStr">
        <is>
          <t>MORA</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11273-2020</t>
        </is>
      </c>
      <c r="B2226" s="1" t="n">
        <v>43888</v>
      </c>
      <c r="C2226" s="1" t="n">
        <v>45210</v>
      </c>
      <c r="D2226" t="inlineStr">
        <is>
          <t>DALARNAS LÄN</t>
        </is>
      </c>
      <c r="E2226" t="inlineStr">
        <is>
          <t>MALUNG-SÄLEN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10854-2020</t>
        </is>
      </c>
      <c r="B2227" s="1" t="n">
        <v>43889</v>
      </c>
      <c r="C2227" s="1" t="n">
        <v>45210</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10994-2020</t>
        </is>
      </c>
      <c r="B2228" s="1" t="n">
        <v>43889</v>
      </c>
      <c r="C2228" s="1" t="n">
        <v>45210</v>
      </c>
      <c r="D2228" t="inlineStr">
        <is>
          <t>DALARNAS LÄN</t>
        </is>
      </c>
      <c r="E2228" t="inlineStr">
        <is>
          <t>SÄTER</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11207-2020</t>
        </is>
      </c>
      <c r="B2229" s="1" t="n">
        <v>43892</v>
      </c>
      <c r="C2229" s="1" t="n">
        <v>45210</v>
      </c>
      <c r="D2229" t="inlineStr">
        <is>
          <t>DALARNAS LÄN</t>
        </is>
      </c>
      <c r="E2229" t="inlineStr">
        <is>
          <t>LUDVIKA</t>
        </is>
      </c>
      <c r="F2229" t="inlineStr">
        <is>
          <t>Bergvik skog väst AB</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11372-2020</t>
        </is>
      </c>
      <c r="B2230" s="1" t="n">
        <v>43892</v>
      </c>
      <c r="C2230" s="1" t="n">
        <v>45210</v>
      </c>
      <c r="D2230" t="inlineStr">
        <is>
          <t>DALARNAS LÄN</t>
        </is>
      </c>
      <c r="E2230" t="inlineStr">
        <is>
          <t>LEKSAND</t>
        </is>
      </c>
      <c r="F2230" t="inlineStr">
        <is>
          <t>Bergvik skog väst AB</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12439-2020</t>
        </is>
      </c>
      <c r="B2231" s="1" t="n">
        <v>43892</v>
      </c>
      <c r="C2231" s="1" t="n">
        <v>45210</v>
      </c>
      <c r="D2231" t="inlineStr">
        <is>
          <t>DALARNAS LÄN</t>
        </is>
      </c>
      <c r="E2231" t="inlineStr">
        <is>
          <t>LUDVIKA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11559-2020</t>
        </is>
      </c>
      <c r="B2232" s="1" t="n">
        <v>43893</v>
      </c>
      <c r="C2232" s="1" t="n">
        <v>45210</v>
      </c>
      <c r="D2232" t="inlineStr">
        <is>
          <t>DALARNAS LÄN</t>
        </is>
      </c>
      <c r="E2232" t="inlineStr">
        <is>
          <t>LUDVIKA</t>
        </is>
      </c>
      <c r="G2232" t="n">
        <v>32.7</v>
      </c>
      <c r="H2232" t="n">
        <v>0</v>
      </c>
      <c r="I2232" t="n">
        <v>0</v>
      </c>
      <c r="J2232" t="n">
        <v>0</v>
      </c>
      <c r="K2232" t="n">
        <v>0</v>
      </c>
      <c r="L2232" t="n">
        <v>0</v>
      </c>
      <c r="M2232" t="n">
        <v>0</v>
      </c>
      <c r="N2232" t="n">
        <v>0</v>
      </c>
      <c r="O2232" t="n">
        <v>0</v>
      </c>
      <c r="P2232" t="n">
        <v>0</v>
      </c>
      <c r="Q2232" t="n">
        <v>0</v>
      </c>
      <c r="R2232" s="2" t="inlineStr"/>
    </row>
    <row r="2233" ht="15" customHeight="1">
      <c r="A2233" t="inlineStr">
        <is>
          <t>A 11590-2020</t>
        </is>
      </c>
      <c r="B2233" s="1" t="n">
        <v>43893</v>
      </c>
      <c r="C2233" s="1" t="n">
        <v>45210</v>
      </c>
      <c r="D2233" t="inlineStr">
        <is>
          <t>DALARNAS LÄN</t>
        </is>
      </c>
      <c r="E2233" t="inlineStr">
        <is>
          <t>BORLÄNGE</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11626-2020</t>
        </is>
      </c>
      <c r="B2234" s="1" t="n">
        <v>43893</v>
      </c>
      <c r="C2234" s="1" t="n">
        <v>45210</v>
      </c>
      <c r="D2234" t="inlineStr">
        <is>
          <t>DALARNAS LÄN</t>
        </is>
      </c>
      <c r="E2234" t="inlineStr">
        <is>
          <t>LUDVIKA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11780-2020</t>
        </is>
      </c>
      <c r="B2235" s="1" t="n">
        <v>43894</v>
      </c>
      <c r="C2235" s="1" t="n">
        <v>45210</v>
      </c>
      <c r="D2235" t="inlineStr">
        <is>
          <t>DALARNAS LÄN</t>
        </is>
      </c>
      <c r="E2235" t="inlineStr">
        <is>
          <t>AVESTA</t>
        </is>
      </c>
      <c r="G2235" t="n">
        <v>5.4</v>
      </c>
      <c r="H2235" t="n">
        <v>0</v>
      </c>
      <c r="I2235" t="n">
        <v>0</v>
      </c>
      <c r="J2235" t="n">
        <v>0</v>
      </c>
      <c r="K2235" t="n">
        <v>0</v>
      </c>
      <c r="L2235" t="n">
        <v>0</v>
      </c>
      <c r="M2235" t="n">
        <v>0</v>
      </c>
      <c r="N2235" t="n">
        <v>0</v>
      </c>
      <c r="O2235" t="n">
        <v>0</v>
      </c>
      <c r="P2235" t="n">
        <v>0</v>
      </c>
      <c r="Q2235" t="n">
        <v>0</v>
      </c>
      <c r="R2235" s="2" t="inlineStr"/>
    </row>
    <row r="2236" ht="15" customHeight="1">
      <c r="A2236" t="inlineStr">
        <is>
          <t>A 11721-2020</t>
        </is>
      </c>
      <c r="B2236" s="1" t="n">
        <v>43894</v>
      </c>
      <c r="C2236" s="1" t="n">
        <v>45210</v>
      </c>
      <c r="D2236" t="inlineStr">
        <is>
          <t>DALARNAS LÄN</t>
        </is>
      </c>
      <c r="E2236" t="inlineStr">
        <is>
          <t>AVESTA</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11894-2020</t>
        </is>
      </c>
      <c r="B2237" s="1" t="n">
        <v>43894</v>
      </c>
      <c r="C2237" s="1" t="n">
        <v>45210</v>
      </c>
      <c r="D2237" t="inlineStr">
        <is>
          <t>DALARNAS LÄN</t>
        </is>
      </c>
      <c r="E2237" t="inlineStr">
        <is>
          <t>HEDEMORA</t>
        </is>
      </c>
      <c r="F2237" t="inlineStr">
        <is>
          <t>Sveaskog</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12791-2020</t>
        </is>
      </c>
      <c r="B2238" s="1" t="n">
        <v>43894</v>
      </c>
      <c r="C2238" s="1" t="n">
        <v>45210</v>
      </c>
      <c r="D2238" t="inlineStr">
        <is>
          <t>DALARNAS LÄN</t>
        </is>
      </c>
      <c r="E2238" t="inlineStr">
        <is>
          <t>MALUNG-SÄLEN</t>
        </is>
      </c>
      <c r="F2238" t="inlineStr">
        <is>
          <t>Allmännings- och besparingsskogar</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13483-2020</t>
        </is>
      </c>
      <c r="B2239" s="1" t="n">
        <v>43894</v>
      </c>
      <c r="C2239" s="1" t="n">
        <v>45210</v>
      </c>
      <c r="D2239" t="inlineStr">
        <is>
          <t>DALARNAS LÄN</t>
        </is>
      </c>
      <c r="E2239" t="inlineStr">
        <is>
          <t>LUDVIKA</t>
        </is>
      </c>
      <c r="F2239" t="inlineStr">
        <is>
          <t>Bergvik skog väst AB</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11863-2020</t>
        </is>
      </c>
      <c r="B2240" s="1" t="n">
        <v>43894</v>
      </c>
      <c r="C2240" s="1" t="n">
        <v>45210</v>
      </c>
      <c r="D2240" t="inlineStr">
        <is>
          <t>DALARNAS LÄN</t>
        </is>
      </c>
      <c r="E2240" t="inlineStr">
        <is>
          <t>RÄTTVIK</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12049-2020</t>
        </is>
      </c>
      <c r="B2241" s="1" t="n">
        <v>43894</v>
      </c>
      <c r="C2241" s="1" t="n">
        <v>45210</v>
      </c>
      <c r="D2241" t="inlineStr">
        <is>
          <t>DALARNAS LÄN</t>
        </is>
      </c>
      <c r="E2241" t="inlineStr">
        <is>
          <t>LUDVIKA</t>
        </is>
      </c>
      <c r="G2241" t="n">
        <v>3</v>
      </c>
      <c r="H2241" t="n">
        <v>0</v>
      </c>
      <c r="I2241" t="n">
        <v>0</v>
      </c>
      <c r="J2241" t="n">
        <v>0</v>
      </c>
      <c r="K2241" t="n">
        <v>0</v>
      </c>
      <c r="L2241" t="n">
        <v>0</v>
      </c>
      <c r="M2241" t="n">
        <v>0</v>
      </c>
      <c r="N2241" t="n">
        <v>0</v>
      </c>
      <c r="O2241" t="n">
        <v>0</v>
      </c>
      <c r="P2241" t="n">
        <v>0</v>
      </c>
      <c r="Q2241" t="n">
        <v>0</v>
      </c>
      <c r="R2241" s="2" t="inlineStr"/>
    </row>
    <row r="2242" ht="15" customHeight="1">
      <c r="A2242" t="inlineStr">
        <is>
          <t>A 12161-2020</t>
        </is>
      </c>
      <c r="B2242" s="1" t="n">
        <v>43895</v>
      </c>
      <c r="C2242" s="1" t="n">
        <v>45210</v>
      </c>
      <c r="D2242" t="inlineStr">
        <is>
          <t>DALARNAS LÄN</t>
        </is>
      </c>
      <c r="E2242" t="inlineStr">
        <is>
          <t>FALUN</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12176-2020</t>
        </is>
      </c>
      <c r="B2243" s="1" t="n">
        <v>43895</v>
      </c>
      <c r="C2243" s="1" t="n">
        <v>45210</v>
      </c>
      <c r="D2243" t="inlineStr">
        <is>
          <t>DALARNAS LÄN</t>
        </is>
      </c>
      <c r="E2243" t="inlineStr">
        <is>
          <t>LEKSAND</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12223-2020</t>
        </is>
      </c>
      <c r="B2244" s="1" t="n">
        <v>43895</v>
      </c>
      <c r="C2244" s="1" t="n">
        <v>45210</v>
      </c>
      <c r="D2244" t="inlineStr">
        <is>
          <t>DALARNAS LÄN</t>
        </is>
      </c>
      <c r="E2244" t="inlineStr">
        <is>
          <t>LUDVIKA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12247-2020</t>
        </is>
      </c>
      <c r="B2245" s="1" t="n">
        <v>43895</v>
      </c>
      <c r="C2245" s="1" t="n">
        <v>45210</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12360-2020</t>
        </is>
      </c>
      <c r="B2246" s="1" t="n">
        <v>43896</v>
      </c>
      <c r="C2246" s="1" t="n">
        <v>45210</v>
      </c>
      <c r="D2246" t="inlineStr">
        <is>
          <t>DALARNAS LÄN</t>
        </is>
      </c>
      <c r="E2246" t="inlineStr">
        <is>
          <t>MORA</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12381-2020</t>
        </is>
      </c>
      <c r="B2247" s="1" t="n">
        <v>43896</v>
      </c>
      <c r="C2247" s="1" t="n">
        <v>45210</v>
      </c>
      <c r="D2247" t="inlineStr">
        <is>
          <t>DALARNAS LÄN</t>
        </is>
      </c>
      <c r="E2247" t="inlineStr">
        <is>
          <t>SMEDJEBACKEN</t>
        </is>
      </c>
      <c r="F2247" t="inlineStr">
        <is>
          <t>Sveaskog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12540-2020</t>
        </is>
      </c>
      <c r="B2248" s="1" t="n">
        <v>43897</v>
      </c>
      <c r="C2248" s="1" t="n">
        <v>45210</v>
      </c>
      <c r="D2248" t="inlineStr">
        <is>
          <t>DALARNAS LÄN</t>
        </is>
      </c>
      <c r="E2248" t="inlineStr">
        <is>
          <t>ÄLVDALEN</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12560-2020</t>
        </is>
      </c>
      <c r="B2249" s="1" t="n">
        <v>43898</v>
      </c>
      <c r="C2249" s="1" t="n">
        <v>45210</v>
      </c>
      <c r="D2249" t="inlineStr">
        <is>
          <t>DALARNAS LÄN</t>
        </is>
      </c>
      <c r="E2249" t="inlineStr">
        <is>
          <t>LUDVIKA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12834-2020</t>
        </is>
      </c>
      <c r="B2250" s="1" t="n">
        <v>43899</v>
      </c>
      <c r="C2250" s="1" t="n">
        <v>45210</v>
      </c>
      <c r="D2250" t="inlineStr">
        <is>
          <t>DALARNAS LÄN</t>
        </is>
      </c>
      <c r="E2250" t="inlineStr">
        <is>
          <t>FALUN</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12614-2020</t>
        </is>
      </c>
      <c r="B2251" s="1" t="n">
        <v>43899</v>
      </c>
      <c r="C2251" s="1" t="n">
        <v>45210</v>
      </c>
      <c r="D2251" t="inlineStr">
        <is>
          <t>DALARNAS LÄN</t>
        </is>
      </c>
      <c r="E2251" t="inlineStr">
        <is>
          <t>FALUN</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12590-2020</t>
        </is>
      </c>
      <c r="B2252" s="1" t="n">
        <v>43899</v>
      </c>
      <c r="C2252" s="1" t="n">
        <v>45210</v>
      </c>
      <c r="D2252" t="inlineStr">
        <is>
          <t>DALARNAS LÄN</t>
        </is>
      </c>
      <c r="E2252" t="inlineStr">
        <is>
          <t>VANSBRO</t>
        </is>
      </c>
      <c r="F2252" t="inlineStr">
        <is>
          <t>Bergvik skog väst AB</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14447-2020</t>
        </is>
      </c>
      <c r="B2253" s="1" t="n">
        <v>43900</v>
      </c>
      <c r="C2253" s="1" t="n">
        <v>45210</v>
      </c>
      <c r="D2253" t="inlineStr">
        <is>
          <t>DALARNAS LÄN</t>
        </is>
      </c>
      <c r="E2253" t="inlineStr">
        <is>
          <t>SÄTER</t>
        </is>
      </c>
      <c r="F2253" t="inlineStr">
        <is>
          <t>Bergvik skog väst AB</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12935-2020</t>
        </is>
      </c>
      <c r="B2254" s="1" t="n">
        <v>43900</v>
      </c>
      <c r="C2254" s="1" t="n">
        <v>45210</v>
      </c>
      <c r="D2254" t="inlineStr">
        <is>
          <t>DALARNAS LÄN</t>
        </is>
      </c>
      <c r="E2254" t="inlineStr">
        <is>
          <t>LUDVIKA</t>
        </is>
      </c>
      <c r="F2254" t="inlineStr">
        <is>
          <t>Bergvik skog väst AB</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13204-2020</t>
        </is>
      </c>
      <c r="B2255" s="1" t="n">
        <v>43901</v>
      </c>
      <c r="C2255" s="1" t="n">
        <v>45210</v>
      </c>
      <c r="D2255" t="inlineStr">
        <is>
          <t>DALARNAS LÄN</t>
        </is>
      </c>
      <c r="E2255" t="inlineStr">
        <is>
          <t>SÄTER</t>
        </is>
      </c>
      <c r="F2255" t="inlineStr">
        <is>
          <t>Bergvik skog väst AB</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14636-2020</t>
        </is>
      </c>
      <c r="B2256" s="1" t="n">
        <v>43902</v>
      </c>
      <c r="C2256" s="1" t="n">
        <v>45210</v>
      </c>
      <c r="D2256" t="inlineStr">
        <is>
          <t>DALARNAS LÄN</t>
        </is>
      </c>
      <c r="E2256" t="inlineStr">
        <is>
          <t>SMEDJEBACKEN</t>
        </is>
      </c>
      <c r="G2256" t="n">
        <v>9.6</v>
      </c>
      <c r="H2256" t="n">
        <v>0</v>
      </c>
      <c r="I2256" t="n">
        <v>0</v>
      </c>
      <c r="J2256" t="n">
        <v>0</v>
      </c>
      <c r="K2256" t="n">
        <v>0</v>
      </c>
      <c r="L2256" t="n">
        <v>0</v>
      </c>
      <c r="M2256" t="n">
        <v>0</v>
      </c>
      <c r="N2256" t="n">
        <v>0</v>
      </c>
      <c r="O2256" t="n">
        <v>0</v>
      </c>
      <c r="P2256" t="n">
        <v>0</v>
      </c>
      <c r="Q2256" t="n">
        <v>0</v>
      </c>
      <c r="R2256" s="2" t="inlineStr"/>
    </row>
    <row r="2257" ht="15" customHeight="1">
      <c r="A2257" t="inlineStr">
        <is>
          <t>A 13340-2020</t>
        </is>
      </c>
      <c r="B2257" s="1" t="n">
        <v>43902</v>
      </c>
      <c r="C2257" s="1" t="n">
        <v>45210</v>
      </c>
      <c r="D2257" t="inlineStr">
        <is>
          <t>DALARNAS LÄN</t>
        </is>
      </c>
      <c r="E2257" t="inlineStr">
        <is>
          <t>LEKSAND</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13356-2020</t>
        </is>
      </c>
      <c r="B2258" s="1" t="n">
        <v>43902</v>
      </c>
      <c r="C2258" s="1" t="n">
        <v>45210</v>
      </c>
      <c r="D2258" t="inlineStr">
        <is>
          <t>DALARNAS LÄN</t>
        </is>
      </c>
      <c r="E2258" t="inlineStr">
        <is>
          <t>LEKSAND</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13352-2020</t>
        </is>
      </c>
      <c r="B2259" s="1" t="n">
        <v>43902</v>
      </c>
      <c r="C2259" s="1" t="n">
        <v>45210</v>
      </c>
      <c r="D2259" t="inlineStr">
        <is>
          <t>DALARNAS LÄN</t>
        </is>
      </c>
      <c r="E2259" t="inlineStr">
        <is>
          <t>LEKSAND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13404-2020</t>
        </is>
      </c>
      <c r="B2260" s="1" t="n">
        <v>43902</v>
      </c>
      <c r="C2260" s="1" t="n">
        <v>45210</v>
      </c>
      <c r="D2260" t="inlineStr">
        <is>
          <t>DALARNAS LÄN</t>
        </is>
      </c>
      <c r="E2260" t="inlineStr">
        <is>
          <t>BORLÄNGE</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14737-2020</t>
        </is>
      </c>
      <c r="B2261" s="1" t="n">
        <v>43902</v>
      </c>
      <c r="C2261" s="1" t="n">
        <v>45210</v>
      </c>
      <c r="D2261" t="inlineStr">
        <is>
          <t>DALARNAS LÄN</t>
        </is>
      </c>
      <c r="E2261" t="inlineStr">
        <is>
          <t>RÄTTVIK</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13767-2020</t>
        </is>
      </c>
      <c r="B2262" s="1" t="n">
        <v>43903</v>
      </c>
      <c r="C2262" s="1" t="n">
        <v>45210</v>
      </c>
      <c r="D2262" t="inlineStr">
        <is>
          <t>DALARNAS LÄN</t>
        </is>
      </c>
      <c r="E2262" t="inlineStr">
        <is>
          <t>LUDVIKA</t>
        </is>
      </c>
      <c r="F2262" t="inlineStr">
        <is>
          <t>Bergvik skog väst AB</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13757-2020</t>
        </is>
      </c>
      <c r="B2263" s="1" t="n">
        <v>43903</v>
      </c>
      <c r="C2263" s="1" t="n">
        <v>45210</v>
      </c>
      <c r="D2263" t="inlineStr">
        <is>
          <t>DALARNAS LÄN</t>
        </is>
      </c>
      <c r="E2263" t="inlineStr">
        <is>
          <t>LUDVIKA</t>
        </is>
      </c>
      <c r="F2263" t="inlineStr">
        <is>
          <t>Bergvik skog väst AB</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13840-2020</t>
        </is>
      </c>
      <c r="B2264" s="1" t="n">
        <v>43906</v>
      </c>
      <c r="C2264" s="1" t="n">
        <v>45210</v>
      </c>
      <c r="D2264" t="inlineStr">
        <is>
          <t>DALARNAS LÄN</t>
        </is>
      </c>
      <c r="E2264" t="inlineStr">
        <is>
          <t>AVESTA</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13872-2020</t>
        </is>
      </c>
      <c r="B2265" s="1" t="n">
        <v>43906</v>
      </c>
      <c r="C2265" s="1" t="n">
        <v>45210</v>
      </c>
      <c r="D2265" t="inlineStr">
        <is>
          <t>DALARNAS LÄN</t>
        </is>
      </c>
      <c r="E2265" t="inlineStr">
        <is>
          <t>HEDEMORA</t>
        </is>
      </c>
      <c r="F2265" t="inlineStr">
        <is>
          <t>Övriga Aktiebolag</t>
        </is>
      </c>
      <c r="G2265" t="n">
        <v>5.4</v>
      </c>
      <c r="H2265" t="n">
        <v>0</v>
      </c>
      <c r="I2265" t="n">
        <v>0</v>
      </c>
      <c r="J2265" t="n">
        <v>0</v>
      </c>
      <c r="K2265" t="n">
        <v>0</v>
      </c>
      <c r="L2265" t="n">
        <v>0</v>
      </c>
      <c r="M2265" t="n">
        <v>0</v>
      </c>
      <c r="N2265" t="n">
        <v>0</v>
      </c>
      <c r="O2265" t="n">
        <v>0</v>
      </c>
      <c r="P2265" t="n">
        <v>0</v>
      </c>
      <c r="Q2265" t="n">
        <v>0</v>
      </c>
      <c r="R2265" s="2" t="inlineStr"/>
    </row>
    <row r="2266" ht="15" customHeight="1">
      <c r="A2266" t="inlineStr">
        <is>
          <t>A 14922-2020</t>
        </is>
      </c>
      <c r="B2266" s="1" t="n">
        <v>43906</v>
      </c>
      <c r="C2266" s="1" t="n">
        <v>45210</v>
      </c>
      <c r="D2266" t="inlineStr">
        <is>
          <t>DALARNAS LÄN</t>
        </is>
      </c>
      <c r="E2266" t="inlineStr">
        <is>
          <t>MALUNG-SÄLEN</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14947-2020</t>
        </is>
      </c>
      <c r="B2267" s="1" t="n">
        <v>43906</v>
      </c>
      <c r="C2267" s="1" t="n">
        <v>45210</v>
      </c>
      <c r="D2267" t="inlineStr">
        <is>
          <t>DALARNAS LÄN</t>
        </is>
      </c>
      <c r="E2267" t="inlineStr">
        <is>
          <t>ORSA</t>
        </is>
      </c>
      <c r="F2267" t="inlineStr">
        <is>
          <t>Allmännings- och besparingsskogar</t>
        </is>
      </c>
      <c r="G2267" t="n">
        <v>26.8</v>
      </c>
      <c r="H2267" t="n">
        <v>0</v>
      </c>
      <c r="I2267" t="n">
        <v>0</v>
      </c>
      <c r="J2267" t="n">
        <v>0</v>
      </c>
      <c r="K2267" t="n">
        <v>0</v>
      </c>
      <c r="L2267" t="n">
        <v>0</v>
      </c>
      <c r="M2267" t="n">
        <v>0</v>
      </c>
      <c r="N2267" t="n">
        <v>0</v>
      </c>
      <c r="O2267" t="n">
        <v>0</v>
      </c>
      <c r="P2267" t="n">
        <v>0</v>
      </c>
      <c r="Q2267" t="n">
        <v>0</v>
      </c>
      <c r="R2267" s="2" t="inlineStr"/>
    </row>
    <row r="2268" ht="15" customHeight="1">
      <c r="A2268" t="inlineStr">
        <is>
          <t>A 14260-2020</t>
        </is>
      </c>
      <c r="B2268" s="1" t="n">
        <v>43907</v>
      </c>
      <c r="C2268" s="1" t="n">
        <v>45210</v>
      </c>
      <c r="D2268" t="inlineStr">
        <is>
          <t>DALARNAS LÄN</t>
        </is>
      </c>
      <c r="E2268" t="inlineStr">
        <is>
          <t>MALUNG-SÄLEN</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14316-2020</t>
        </is>
      </c>
      <c r="B2269" s="1" t="n">
        <v>43907</v>
      </c>
      <c r="C2269" s="1" t="n">
        <v>45210</v>
      </c>
      <c r="D2269" t="inlineStr">
        <is>
          <t>DALARNAS LÄN</t>
        </is>
      </c>
      <c r="E2269" t="inlineStr">
        <is>
          <t>FALUN</t>
        </is>
      </c>
      <c r="F2269" t="inlineStr">
        <is>
          <t>Sveaskog</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14119-2020</t>
        </is>
      </c>
      <c r="B2270" s="1" t="n">
        <v>43907</v>
      </c>
      <c r="C2270" s="1" t="n">
        <v>45210</v>
      </c>
      <c r="D2270" t="inlineStr">
        <is>
          <t>DALARNAS LÄN</t>
        </is>
      </c>
      <c r="E2270" t="inlineStr">
        <is>
          <t>SÄTER</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14146-2020</t>
        </is>
      </c>
      <c r="B2271" s="1" t="n">
        <v>43907</v>
      </c>
      <c r="C2271" s="1" t="n">
        <v>45210</v>
      </c>
      <c r="D2271" t="inlineStr">
        <is>
          <t>DALARNAS LÄN</t>
        </is>
      </c>
      <c r="E2271" t="inlineStr">
        <is>
          <t>SÄTER</t>
        </is>
      </c>
      <c r="G2271" t="n">
        <v>9.4</v>
      </c>
      <c r="H2271" t="n">
        <v>0</v>
      </c>
      <c r="I2271" t="n">
        <v>0</v>
      </c>
      <c r="J2271" t="n">
        <v>0</v>
      </c>
      <c r="K2271" t="n">
        <v>0</v>
      </c>
      <c r="L2271" t="n">
        <v>0</v>
      </c>
      <c r="M2271" t="n">
        <v>0</v>
      </c>
      <c r="N2271" t="n">
        <v>0</v>
      </c>
      <c r="O2271" t="n">
        <v>0</v>
      </c>
      <c r="P2271" t="n">
        <v>0</v>
      </c>
      <c r="Q2271" t="n">
        <v>0</v>
      </c>
      <c r="R2271" s="2" t="inlineStr"/>
    </row>
    <row r="2272" ht="15" customHeight="1">
      <c r="A2272" t="inlineStr">
        <is>
          <t>A 14265-2020</t>
        </is>
      </c>
      <c r="B2272" s="1" t="n">
        <v>43907</v>
      </c>
      <c r="C2272" s="1" t="n">
        <v>45210</v>
      </c>
      <c r="D2272" t="inlineStr">
        <is>
          <t>DALARNAS LÄN</t>
        </is>
      </c>
      <c r="E2272" t="inlineStr">
        <is>
          <t>MALUNG-SÄLEN</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14311-2020</t>
        </is>
      </c>
      <c r="B2273" s="1" t="n">
        <v>43907</v>
      </c>
      <c r="C2273" s="1" t="n">
        <v>45210</v>
      </c>
      <c r="D2273" t="inlineStr">
        <is>
          <t>DALARNAS LÄN</t>
        </is>
      </c>
      <c r="E2273" t="inlineStr">
        <is>
          <t>SÄTER</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14117-2020</t>
        </is>
      </c>
      <c r="B2274" s="1" t="n">
        <v>43907</v>
      </c>
      <c r="C2274" s="1" t="n">
        <v>45210</v>
      </c>
      <c r="D2274" t="inlineStr">
        <is>
          <t>DALARNAS LÄN</t>
        </is>
      </c>
      <c r="E2274" t="inlineStr">
        <is>
          <t>HEDEMORA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14129-2020</t>
        </is>
      </c>
      <c r="B2275" s="1" t="n">
        <v>43907</v>
      </c>
      <c r="C2275" s="1" t="n">
        <v>45210</v>
      </c>
      <c r="D2275" t="inlineStr">
        <is>
          <t>DALARNAS LÄN</t>
        </is>
      </c>
      <c r="E2275" t="inlineStr">
        <is>
          <t>SÄTER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14188-2020</t>
        </is>
      </c>
      <c r="B2276" s="1" t="n">
        <v>43907</v>
      </c>
      <c r="C2276" s="1" t="n">
        <v>45210</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14554-2020</t>
        </is>
      </c>
      <c r="B2277" s="1" t="n">
        <v>43908</v>
      </c>
      <c r="C2277" s="1" t="n">
        <v>45210</v>
      </c>
      <c r="D2277" t="inlineStr">
        <is>
          <t>DALARNAS LÄN</t>
        </is>
      </c>
      <c r="E2277" t="inlineStr">
        <is>
          <t>HEDEMORA</t>
        </is>
      </c>
      <c r="G2277" t="n">
        <v>0.8</v>
      </c>
      <c r="H2277" t="n">
        <v>0</v>
      </c>
      <c r="I2277" t="n">
        <v>0</v>
      </c>
      <c r="J2277" t="n">
        <v>0</v>
      </c>
      <c r="K2277" t="n">
        <v>0</v>
      </c>
      <c r="L2277" t="n">
        <v>0</v>
      </c>
      <c r="M2277" t="n">
        <v>0</v>
      </c>
      <c r="N2277" t="n">
        <v>0</v>
      </c>
      <c r="O2277" t="n">
        <v>0</v>
      </c>
      <c r="P2277" t="n">
        <v>0</v>
      </c>
      <c r="Q2277" t="n">
        <v>0</v>
      </c>
      <c r="R2277" s="2" t="inlineStr"/>
      <c r="U2277">
        <f>HYPERLINK("https://klasma.github.io/Logging_2083/knärot/A 14554-2020.png", "A 14554-2020")</f>
        <v/>
      </c>
      <c r="V2277">
        <f>HYPERLINK("https://klasma.github.io/Logging_2083/klagomål/A 14554-2020.docx", "A 14554-2020")</f>
        <v/>
      </c>
      <c r="W2277">
        <f>HYPERLINK("https://klasma.github.io/Logging_2083/klagomålsmail/A 14554-2020.docx", "A 14554-2020")</f>
        <v/>
      </c>
      <c r="X2277">
        <f>HYPERLINK("https://klasma.github.io/Logging_2083/tillsyn/A 14554-2020.docx", "A 14554-2020")</f>
        <v/>
      </c>
      <c r="Y2277">
        <f>HYPERLINK("https://klasma.github.io/Logging_2083/tillsynsmail/A 14554-2020.docx", "A 14554-2020")</f>
        <v/>
      </c>
    </row>
    <row r="2278" ht="15" customHeight="1">
      <c r="A2278" t="inlineStr">
        <is>
          <t>A 14373-2020</t>
        </is>
      </c>
      <c r="B2278" s="1" t="n">
        <v>43908</v>
      </c>
      <c r="C2278" s="1" t="n">
        <v>45210</v>
      </c>
      <c r="D2278" t="inlineStr">
        <is>
          <t>DALARNAS LÄN</t>
        </is>
      </c>
      <c r="E2278" t="inlineStr">
        <is>
          <t>LUDVIKA</t>
        </is>
      </c>
      <c r="F2278" t="inlineStr">
        <is>
          <t>Bergvik skog väst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14682-2020</t>
        </is>
      </c>
      <c r="B2279" s="1" t="n">
        <v>43909</v>
      </c>
      <c r="C2279" s="1" t="n">
        <v>45210</v>
      </c>
      <c r="D2279" t="inlineStr">
        <is>
          <t>DALARNAS LÄN</t>
        </is>
      </c>
      <c r="E2279" t="inlineStr">
        <is>
          <t>ORSA</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14732-2020</t>
        </is>
      </c>
      <c r="B2280" s="1" t="n">
        <v>43909</v>
      </c>
      <c r="C2280" s="1" t="n">
        <v>45210</v>
      </c>
      <c r="D2280" t="inlineStr">
        <is>
          <t>DALARNAS LÄN</t>
        </is>
      </c>
      <c r="E2280" t="inlineStr">
        <is>
          <t>FALUN</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14736-2020</t>
        </is>
      </c>
      <c r="B2281" s="1" t="n">
        <v>43909</v>
      </c>
      <c r="C2281" s="1" t="n">
        <v>45210</v>
      </c>
      <c r="D2281" t="inlineStr">
        <is>
          <t>DALARNAS LÄN</t>
        </is>
      </c>
      <c r="E2281" t="inlineStr">
        <is>
          <t>BORLÄNGE</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15207-2020</t>
        </is>
      </c>
      <c r="B2282" s="1" t="n">
        <v>43909</v>
      </c>
      <c r="C2282" s="1" t="n">
        <v>45210</v>
      </c>
      <c r="D2282" t="inlineStr">
        <is>
          <t>DALARNAS LÄN</t>
        </is>
      </c>
      <c r="E2282" t="inlineStr">
        <is>
          <t>MALUNG-SÄLEN</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16641-2020</t>
        </is>
      </c>
      <c r="B2283" s="1" t="n">
        <v>43910</v>
      </c>
      <c r="C2283" s="1" t="n">
        <v>45210</v>
      </c>
      <c r="D2283" t="inlineStr">
        <is>
          <t>DALARNAS LÄN</t>
        </is>
      </c>
      <c r="E2283" t="inlineStr">
        <is>
          <t>HEDEMORA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14987-2020</t>
        </is>
      </c>
      <c r="B2284" s="1" t="n">
        <v>43910</v>
      </c>
      <c r="C2284" s="1" t="n">
        <v>45210</v>
      </c>
      <c r="D2284" t="inlineStr">
        <is>
          <t>DALARNAS LÄN</t>
        </is>
      </c>
      <c r="E2284" t="inlineStr">
        <is>
          <t>SÄTER</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16636-2020</t>
        </is>
      </c>
      <c r="B2285" s="1" t="n">
        <v>43910</v>
      </c>
      <c r="C2285" s="1" t="n">
        <v>45210</v>
      </c>
      <c r="D2285" t="inlineStr">
        <is>
          <t>DALARNAS LÄN</t>
        </is>
      </c>
      <c r="E2285" t="inlineStr">
        <is>
          <t>MORA</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15053-2020</t>
        </is>
      </c>
      <c r="B2286" s="1" t="n">
        <v>43910</v>
      </c>
      <c r="C2286" s="1" t="n">
        <v>45210</v>
      </c>
      <c r="D2286" t="inlineStr">
        <is>
          <t>DALARNAS LÄN</t>
        </is>
      </c>
      <c r="E2286" t="inlineStr">
        <is>
          <t>LUDVIKA</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15165-2020</t>
        </is>
      </c>
      <c r="B2287" s="1" t="n">
        <v>43912</v>
      </c>
      <c r="C2287" s="1" t="n">
        <v>45210</v>
      </c>
      <c r="D2287" t="inlineStr">
        <is>
          <t>DALARNAS LÄN</t>
        </is>
      </c>
      <c r="E2287" t="inlineStr">
        <is>
          <t>LEKSAND</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15157-2020</t>
        </is>
      </c>
      <c r="B2288" s="1" t="n">
        <v>43912</v>
      </c>
      <c r="C2288" s="1" t="n">
        <v>45210</v>
      </c>
      <c r="D2288" t="inlineStr">
        <is>
          <t>DALARNAS LÄN</t>
        </is>
      </c>
      <c r="E2288" t="inlineStr">
        <is>
          <t>FALUN</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15460-2020</t>
        </is>
      </c>
      <c r="B2289" s="1" t="n">
        <v>43914</v>
      </c>
      <c r="C2289" s="1" t="n">
        <v>45210</v>
      </c>
      <c r="D2289" t="inlineStr">
        <is>
          <t>DALARNAS LÄN</t>
        </is>
      </c>
      <c r="E2289" t="inlineStr">
        <is>
          <t>FALUN</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15491-2020</t>
        </is>
      </c>
      <c r="B2290" s="1" t="n">
        <v>43914</v>
      </c>
      <c r="C2290" s="1" t="n">
        <v>45210</v>
      </c>
      <c r="D2290" t="inlineStr">
        <is>
          <t>DALARNAS LÄN</t>
        </is>
      </c>
      <c r="E2290" t="inlineStr">
        <is>
          <t>FALUN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15596-2020</t>
        </is>
      </c>
      <c r="B2291" s="1" t="n">
        <v>43914</v>
      </c>
      <c r="C2291" s="1" t="n">
        <v>45210</v>
      </c>
      <c r="D2291" t="inlineStr">
        <is>
          <t>DALARNAS LÄN</t>
        </is>
      </c>
      <c r="E2291" t="inlineStr">
        <is>
          <t>ÄLVDALEN</t>
        </is>
      </c>
      <c r="F2291" t="inlineStr">
        <is>
          <t>Allmännings- och besparingsskogar</t>
        </is>
      </c>
      <c r="G2291" t="n">
        <v>19.5</v>
      </c>
      <c r="H2291" t="n">
        <v>0</v>
      </c>
      <c r="I2291" t="n">
        <v>0</v>
      </c>
      <c r="J2291" t="n">
        <v>0</v>
      </c>
      <c r="K2291" t="n">
        <v>0</v>
      </c>
      <c r="L2291" t="n">
        <v>0</v>
      </c>
      <c r="M2291" t="n">
        <v>0</v>
      </c>
      <c r="N2291" t="n">
        <v>0</v>
      </c>
      <c r="O2291" t="n">
        <v>0</v>
      </c>
      <c r="P2291" t="n">
        <v>0</v>
      </c>
      <c r="Q2291" t="n">
        <v>0</v>
      </c>
      <c r="R2291" s="2" t="inlineStr"/>
    </row>
    <row r="2292" ht="15" customHeight="1">
      <c r="A2292" t="inlineStr">
        <is>
          <t>A 15668-2020</t>
        </is>
      </c>
      <c r="B2292" s="1" t="n">
        <v>43915</v>
      </c>
      <c r="C2292" s="1" t="n">
        <v>45210</v>
      </c>
      <c r="D2292" t="inlineStr">
        <is>
          <t>DALARNAS LÄN</t>
        </is>
      </c>
      <c r="E2292" t="inlineStr">
        <is>
          <t>SMEDJEBACKEN</t>
        </is>
      </c>
      <c r="F2292" t="inlineStr">
        <is>
          <t>Kyrkan</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15772-2020</t>
        </is>
      </c>
      <c r="B2293" s="1" t="n">
        <v>43915</v>
      </c>
      <c r="C2293" s="1" t="n">
        <v>45210</v>
      </c>
      <c r="D2293" t="inlineStr">
        <is>
          <t>DALARNAS LÄN</t>
        </is>
      </c>
      <c r="E2293" t="inlineStr">
        <is>
          <t>SMEDJEBACKEN</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15779-2020</t>
        </is>
      </c>
      <c r="B2294" s="1" t="n">
        <v>43915</v>
      </c>
      <c r="C2294" s="1" t="n">
        <v>45210</v>
      </c>
      <c r="D2294" t="inlineStr">
        <is>
          <t>DALARNAS LÄN</t>
        </is>
      </c>
      <c r="E2294" t="inlineStr">
        <is>
          <t>SÄTER</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15861-2020</t>
        </is>
      </c>
      <c r="B2295" s="1" t="n">
        <v>43915</v>
      </c>
      <c r="C2295" s="1" t="n">
        <v>45210</v>
      </c>
      <c r="D2295" t="inlineStr">
        <is>
          <t>DALARNAS LÄN</t>
        </is>
      </c>
      <c r="E2295" t="inlineStr">
        <is>
          <t>LUDVIKA</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16288-2020</t>
        </is>
      </c>
      <c r="B2296" s="1" t="n">
        <v>43917</v>
      </c>
      <c r="C2296" s="1" t="n">
        <v>45210</v>
      </c>
      <c r="D2296" t="inlineStr">
        <is>
          <t>DALARNAS LÄN</t>
        </is>
      </c>
      <c r="E2296" t="inlineStr">
        <is>
          <t>LEKSAND</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16310-2020</t>
        </is>
      </c>
      <c r="B2297" s="1" t="n">
        <v>43917</v>
      </c>
      <c r="C2297" s="1" t="n">
        <v>45210</v>
      </c>
      <c r="D2297" t="inlineStr">
        <is>
          <t>DALARNAS LÄN</t>
        </is>
      </c>
      <c r="E2297" t="inlineStr">
        <is>
          <t>VANSBRO</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16187-2020</t>
        </is>
      </c>
      <c r="B2298" s="1" t="n">
        <v>43917</v>
      </c>
      <c r="C2298" s="1" t="n">
        <v>45210</v>
      </c>
      <c r="D2298" t="inlineStr">
        <is>
          <t>DALARNAS LÄN</t>
        </is>
      </c>
      <c r="E2298" t="inlineStr">
        <is>
          <t>RÄTTVIK</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16195-2020</t>
        </is>
      </c>
      <c r="B2299" s="1" t="n">
        <v>43917</v>
      </c>
      <c r="C2299" s="1" t="n">
        <v>45210</v>
      </c>
      <c r="D2299" t="inlineStr">
        <is>
          <t>DALARNAS LÄN</t>
        </is>
      </c>
      <c r="E2299" t="inlineStr">
        <is>
          <t>MORA</t>
        </is>
      </c>
      <c r="F2299" t="inlineStr">
        <is>
          <t>Bergvik skog väst AB</t>
        </is>
      </c>
      <c r="G2299" t="n">
        <v>4.3</v>
      </c>
      <c r="H2299" t="n">
        <v>0</v>
      </c>
      <c r="I2299" t="n">
        <v>0</v>
      </c>
      <c r="J2299" t="n">
        <v>0</v>
      </c>
      <c r="K2299" t="n">
        <v>0</v>
      </c>
      <c r="L2299" t="n">
        <v>0</v>
      </c>
      <c r="M2299" t="n">
        <v>0</v>
      </c>
      <c r="N2299" t="n">
        <v>0</v>
      </c>
      <c r="O2299" t="n">
        <v>0</v>
      </c>
      <c r="P2299" t="n">
        <v>0</v>
      </c>
      <c r="Q2299" t="n">
        <v>0</v>
      </c>
      <c r="R2299" s="2" t="inlineStr"/>
    </row>
    <row r="2300" ht="15" customHeight="1">
      <c r="A2300" t="inlineStr">
        <is>
          <t>A 16304-2020</t>
        </is>
      </c>
      <c r="B2300" s="1" t="n">
        <v>43917</v>
      </c>
      <c r="C2300" s="1" t="n">
        <v>45210</v>
      </c>
      <c r="D2300" t="inlineStr">
        <is>
          <t>DALARNAS LÄN</t>
        </is>
      </c>
      <c r="E2300" t="inlineStr">
        <is>
          <t>VANSBRO</t>
        </is>
      </c>
      <c r="F2300" t="inlineStr">
        <is>
          <t>Bergvik skog väst AB</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16194-2020</t>
        </is>
      </c>
      <c r="B2301" s="1" t="n">
        <v>43917</v>
      </c>
      <c r="C2301" s="1" t="n">
        <v>45210</v>
      </c>
      <c r="D2301" t="inlineStr">
        <is>
          <t>DALARNAS LÄN</t>
        </is>
      </c>
      <c r="E2301" t="inlineStr">
        <is>
          <t>MORA</t>
        </is>
      </c>
      <c r="F2301" t="inlineStr">
        <is>
          <t>Bergvik skog väst AB</t>
        </is>
      </c>
      <c r="G2301" t="n">
        <v>5.5</v>
      </c>
      <c r="H2301" t="n">
        <v>0</v>
      </c>
      <c r="I2301" t="n">
        <v>0</v>
      </c>
      <c r="J2301" t="n">
        <v>0</v>
      </c>
      <c r="K2301" t="n">
        <v>0</v>
      </c>
      <c r="L2301" t="n">
        <v>0</v>
      </c>
      <c r="M2301" t="n">
        <v>0</v>
      </c>
      <c r="N2301" t="n">
        <v>0</v>
      </c>
      <c r="O2301" t="n">
        <v>0</v>
      </c>
      <c r="P2301" t="n">
        <v>0</v>
      </c>
      <c r="Q2301" t="n">
        <v>0</v>
      </c>
      <c r="R2301" s="2" t="inlineStr"/>
    </row>
    <row r="2302" ht="15" customHeight="1">
      <c r="A2302" t="inlineStr">
        <is>
          <t>A 16308-2020</t>
        </is>
      </c>
      <c r="B2302" s="1" t="n">
        <v>43917</v>
      </c>
      <c r="C2302" s="1" t="n">
        <v>45210</v>
      </c>
      <c r="D2302" t="inlineStr">
        <is>
          <t>DALARNAS LÄN</t>
        </is>
      </c>
      <c r="E2302" t="inlineStr">
        <is>
          <t>ÄLVDALEN</t>
        </is>
      </c>
      <c r="F2302" t="inlineStr">
        <is>
          <t>Allmännings- och besparingsskogar</t>
        </is>
      </c>
      <c r="G2302" t="n">
        <v>29.7</v>
      </c>
      <c r="H2302" t="n">
        <v>0</v>
      </c>
      <c r="I2302" t="n">
        <v>0</v>
      </c>
      <c r="J2302" t="n">
        <v>0</v>
      </c>
      <c r="K2302" t="n">
        <v>0</v>
      </c>
      <c r="L2302" t="n">
        <v>0</v>
      </c>
      <c r="M2302" t="n">
        <v>0</v>
      </c>
      <c r="N2302" t="n">
        <v>0</v>
      </c>
      <c r="O2302" t="n">
        <v>0</v>
      </c>
      <c r="P2302" t="n">
        <v>0</v>
      </c>
      <c r="Q2302" t="n">
        <v>0</v>
      </c>
      <c r="R2302" s="2" t="inlineStr"/>
    </row>
    <row r="2303" ht="15" customHeight="1">
      <c r="A2303" t="inlineStr">
        <is>
          <t>A 16407-2020</t>
        </is>
      </c>
      <c r="B2303" s="1" t="n">
        <v>43918</v>
      </c>
      <c r="C2303" s="1" t="n">
        <v>45210</v>
      </c>
      <c r="D2303" t="inlineStr">
        <is>
          <t>DALARNAS LÄN</t>
        </is>
      </c>
      <c r="E2303" t="inlineStr">
        <is>
          <t>LUDVIKA</t>
        </is>
      </c>
      <c r="F2303" t="inlineStr">
        <is>
          <t>Bergvik skog väst AB</t>
        </is>
      </c>
      <c r="G2303" t="n">
        <v>32.8</v>
      </c>
      <c r="H2303" t="n">
        <v>0</v>
      </c>
      <c r="I2303" t="n">
        <v>0</v>
      </c>
      <c r="J2303" t="n">
        <v>0</v>
      </c>
      <c r="K2303" t="n">
        <v>0</v>
      </c>
      <c r="L2303" t="n">
        <v>0</v>
      </c>
      <c r="M2303" t="n">
        <v>0</v>
      </c>
      <c r="N2303" t="n">
        <v>0</v>
      </c>
      <c r="O2303" t="n">
        <v>0</v>
      </c>
      <c r="P2303" t="n">
        <v>0</v>
      </c>
      <c r="Q2303" t="n">
        <v>0</v>
      </c>
      <c r="R2303" s="2" t="inlineStr"/>
    </row>
    <row r="2304" ht="15" customHeight="1">
      <c r="A2304" t="inlineStr">
        <is>
          <t>A 16404-2020</t>
        </is>
      </c>
      <c r="B2304" s="1" t="n">
        <v>43918</v>
      </c>
      <c r="C2304" s="1" t="n">
        <v>45210</v>
      </c>
      <c r="D2304" t="inlineStr">
        <is>
          <t>DALARNAS LÄN</t>
        </is>
      </c>
      <c r="E2304" t="inlineStr">
        <is>
          <t>BORLÄNGE</t>
        </is>
      </c>
      <c r="F2304" t="inlineStr">
        <is>
          <t>Bergvik skog väst AB</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16415-2020</t>
        </is>
      </c>
      <c r="B2305" s="1" t="n">
        <v>43919</v>
      </c>
      <c r="C2305" s="1" t="n">
        <v>45210</v>
      </c>
      <c r="D2305" t="inlineStr">
        <is>
          <t>DALARNAS LÄN</t>
        </is>
      </c>
      <c r="E2305" t="inlineStr">
        <is>
          <t>SMEDJEBACKEN</t>
        </is>
      </c>
      <c r="G2305" t="n">
        <v>9.300000000000001</v>
      </c>
      <c r="H2305" t="n">
        <v>0</v>
      </c>
      <c r="I2305" t="n">
        <v>0</v>
      </c>
      <c r="J2305" t="n">
        <v>0</v>
      </c>
      <c r="K2305" t="n">
        <v>0</v>
      </c>
      <c r="L2305" t="n">
        <v>0</v>
      </c>
      <c r="M2305" t="n">
        <v>0</v>
      </c>
      <c r="N2305" t="n">
        <v>0</v>
      </c>
      <c r="O2305" t="n">
        <v>0</v>
      </c>
      <c r="P2305" t="n">
        <v>0</v>
      </c>
      <c r="Q2305" t="n">
        <v>0</v>
      </c>
      <c r="R2305" s="2" t="inlineStr"/>
    </row>
    <row r="2306" ht="15" customHeight="1">
      <c r="A2306" t="inlineStr">
        <is>
          <t>A 16425-2020</t>
        </is>
      </c>
      <c r="B2306" s="1" t="n">
        <v>43919</v>
      </c>
      <c r="C2306" s="1" t="n">
        <v>45210</v>
      </c>
      <c r="D2306" t="inlineStr">
        <is>
          <t>DALARNAS LÄN</t>
        </is>
      </c>
      <c r="E2306" t="inlineStr">
        <is>
          <t>FALUN</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16710-2020</t>
        </is>
      </c>
      <c r="B2307" s="1" t="n">
        <v>43920</v>
      </c>
      <c r="C2307" s="1" t="n">
        <v>45210</v>
      </c>
      <c r="D2307" t="inlineStr">
        <is>
          <t>DALARNAS LÄN</t>
        </is>
      </c>
      <c r="E2307" t="inlineStr">
        <is>
          <t>RÄTTVIK</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16723-2020</t>
        </is>
      </c>
      <c r="B2308" s="1" t="n">
        <v>43920</v>
      </c>
      <c r="C2308" s="1" t="n">
        <v>45210</v>
      </c>
      <c r="D2308" t="inlineStr">
        <is>
          <t>DALARNAS LÄN</t>
        </is>
      </c>
      <c r="E2308" t="inlineStr">
        <is>
          <t>RÄTTVIK</t>
        </is>
      </c>
      <c r="F2308" t="inlineStr">
        <is>
          <t>Bergvik skog öst AB</t>
        </is>
      </c>
      <c r="G2308" t="n">
        <v>7.4</v>
      </c>
      <c r="H2308" t="n">
        <v>0</v>
      </c>
      <c r="I2308" t="n">
        <v>0</v>
      </c>
      <c r="J2308" t="n">
        <v>0</v>
      </c>
      <c r="K2308" t="n">
        <v>0</v>
      </c>
      <c r="L2308" t="n">
        <v>0</v>
      </c>
      <c r="M2308" t="n">
        <v>0</v>
      </c>
      <c r="N2308" t="n">
        <v>0</v>
      </c>
      <c r="O2308" t="n">
        <v>0</v>
      </c>
      <c r="P2308" t="n">
        <v>0</v>
      </c>
      <c r="Q2308" t="n">
        <v>0</v>
      </c>
      <c r="R2308" s="2" t="inlineStr"/>
    </row>
    <row r="2309" ht="15" customHeight="1">
      <c r="A2309" t="inlineStr">
        <is>
          <t>A 16736-2020</t>
        </is>
      </c>
      <c r="B2309" s="1" t="n">
        <v>43920</v>
      </c>
      <c r="C2309" s="1" t="n">
        <v>45210</v>
      </c>
      <c r="D2309" t="inlineStr">
        <is>
          <t>DALARNAS LÄN</t>
        </is>
      </c>
      <c r="E2309" t="inlineStr">
        <is>
          <t>GAGNEF</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16614-2020</t>
        </is>
      </c>
      <c r="B2310" s="1" t="n">
        <v>43920</v>
      </c>
      <c r="C2310" s="1" t="n">
        <v>45210</v>
      </c>
      <c r="D2310" t="inlineStr">
        <is>
          <t>DALARNAS LÄN</t>
        </is>
      </c>
      <c r="E2310" t="inlineStr">
        <is>
          <t>SMEDJEBACKEN</t>
        </is>
      </c>
      <c r="F2310" t="inlineStr">
        <is>
          <t>Övriga Aktiebolag</t>
        </is>
      </c>
      <c r="G2310" t="n">
        <v>7.7</v>
      </c>
      <c r="H2310" t="n">
        <v>0</v>
      </c>
      <c r="I2310" t="n">
        <v>0</v>
      </c>
      <c r="J2310" t="n">
        <v>0</v>
      </c>
      <c r="K2310" t="n">
        <v>0</v>
      </c>
      <c r="L2310" t="n">
        <v>0</v>
      </c>
      <c r="M2310" t="n">
        <v>0</v>
      </c>
      <c r="N2310" t="n">
        <v>0</v>
      </c>
      <c r="O2310" t="n">
        <v>0</v>
      </c>
      <c r="P2310" t="n">
        <v>0</v>
      </c>
      <c r="Q2310" t="n">
        <v>0</v>
      </c>
      <c r="R2310" s="2" t="inlineStr"/>
    </row>
    <row r="2311" ht="15" customHeight="1">
      <c r="A2311" t="inlineStr">
        <is>
          <t>A 16781-2020</t>
        </is>
      </c>
      <c r="B2311" s="1" t="n">
        <v>43921</v>
      </c>
      <c r="C2311" s="1" t="n">
        <v>45210</v>
      </c>
      <c r="D2311" t="inlineStr">
        <is>
          <t>DALARNAS LÄN</t>
        </is>
      </c>
      <c r="E2311" t="inlineStr">
        <is>
          <t>LUDVIKA</t>
        </is>
      </c>
      <c r="F2311" t="inlineStr">
        <is>
          <t>Bergvik skog väst AB</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16839-2020</t>
        </is>
      </c>
      <c r="B2312" s="1" t="n">
        <v>43921</v>
      </c>
      <c r="C2312" s="1" t="n">
        <v>45210</v>
      </c>
      <c r="D2312" t="inlineStr">
        <is>
          <t>DALARNAS LÄN</t>
        </is>
      </c>
      <c r="E2312" t="inlineStr">
        <is>
          <t>RÄTTVIK</t>
        </is>
      </c>
      <c r="F2312" t="inlineStr">
        <is>
          <t>Bergvik skog öst AB</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16782-2020</t>
        </is>
      </c>
      <c r="B2313" s="1" t="n">
        <v>43921</v>
      </c>
      <c r="C2313" s="1" t="n">
        <v>45210</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16861-2020</t>
        </is>
      </c>
      <c r="B2314" s="1" t="n">
        <v>43921</v>
      </c>
      <c r="C2314" s="1" t="n">
        <v>45210</v>
      </c>
      <c r="D2314" t="inlineStr">
        <is>
          <t>DALARNAS LÄN</t>
        </is>
      </c>
      <c r="E2314" t="inlineStr">
        <is>
          <t>SMEDJEBACKEN</t>
        </is>
      </c>
      <c r="F2314" t="inlineStr">
        <is>
          <t>Övriga Aktiebolag</t>
        </is>
      </c>
      <c r="G2314" t="n">
        <v>3.6</v>
      </c>
      <c r="H2314" t="n">
        <v>0</v>
      </c>
      <c r="I2314" t="n">
        <v>0</v>
      </c>
      <c r="J2314" t="n">
        <v>0</v>
      </c>
      <c r="K2314" t="n">
        <v>0</v>
      </c>
      <c r="L2314" t="n">
        <v>0</v>
      </c>
      <c r="M2314" t="n">
        <v>0</v>
      </c>
      <c r="N2314" t="n">
        <v>0</v>
      </c>
      <c r="O2314" t="n">
        <v>0</v>
      </c>
      <c r="P2314" t="n">
        <v>0</v>
      </c>
      <c r="Q2314" t="n">
        <v>0</v>
      </c>
      <c r="R2314" s="2" t="inlineStr"/>
    </row>
    <row r="2315" ht="15" customHeight="1">
      <c r="A2315" t="inlineStr">
        <is>
          <t>A 17031-2020</t>
        </is>
      </c>
      <c r="B2315" s="1" t="n">
        <v>43921</v>
      </c>
      <c r="C2315" s="1" t="n">
        <v>45210</v>
      </c>
      <c r="D2315" t="inlineStr">
        <is>
          <t>DALARNAS LÄN</t>
        </is>
      </c>
      <c r="E2315" t="inlineStr">
        <is>
          <t>SMEDJEBACKEN</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16995-2020</t>
        </is>
      </c>
      <c r="B2316" s="1" t="n">
        <v>43921</v>
      </c>
      <c r="C2316" s="1" t="n">
        <v>45210</v>
      </c>
      <c r="D2316" t="inlineStr">
        <is>
          <t>DALARNAS LÄN</t>
        </is>
      </c>
      <c r="E2316" t="inlineStr">
        <is>
          <t>GAGNEF</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17056-2020</t>
        </is>
      </c>
      <c r="B2317" s="1" t="n">
        <v>43921</v>
      </c>
      <c r="C2317" s="1" t="n">
        <v>45210</v>
      </c>
      <c r="D2317" t="inlineStr">
        <is>
          <t>DALARNAS LÄN</t>
        </is>
      </c>
      <c r="E2317" t="inlineStr">
        <is>
          <t>FALUN</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16911-2020</t>
        </is>
      </c>
      <c r="B2318" s="1" t="n">
        <v>43921</v>
      </c>
      <c r="C2318" s="1" t="n">
        <v>45210</v>
      </c>
      <c r="D2318" t="inlineStr">
        <is>
          <t>DALARNAS LÄN</t>
        </is>
      </c>
      <c r="E2318" t="inlineStr">
        <is>
          <t>ÄLVDALEN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17099-2020</t>
        </is>
      </c>
      <c r="B2319" s="1" t="n">
        <v>43922</v>
      </c>
      <c r="C2319" s="1" t="n">
        <v>45210</v>
      </c>
      <c r="D2319" t="inlineStr">
        <is>
          <t>DALARNAS LÄN</t>
        </is>
      </c>
      <c r="E2319" t="inlineStr">
        <is>
          <t>ÄLVDALEN</t>
        </is>
      </c>
      <c r="F2319" t="inlineStr">
        <is>
          <t>Allmännings- och besparingsskogar</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17166-2020</t>
        </is>
      </c>
      <c r="B2320" s="1" t="n">
        <v>43922</v>
      </c>
      <c r="C2320" s="1" t="n">
        <v>45210</v>
      </c>
      <c r="D2320" t="inlineStr">
        <is>
          <t>DALARNAS LÄN</t>
        </is>
      </c>
      <c r="E2320" t="inlineStr">
        <is>
          <t>LUDVIKA</t>
        </is>
      </c>
      <c r="F2320" t="inlineStr">
        <is>
          <t>Bergvik skog väst AB</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17234-2020</t>
        </is>
      </c>
      <c r="B2321" s="1" t="n">
        <v>43922</v>
      </c>
      <c r="C2321" s="1" t="n">
        <v>45210</v>
      </c>
      <c r="D2321" t="inlineStr">
        <is>
          <t>DALARNAS LÄN</t>
        </is>
      </c>
      <c r="E2321" t="inlineStr">
        <is>
          <t>RÄTTVIK</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17275-2020</t>
        </is>
      </c>
      <c r="B2322" s="1" t="n">
        <v>43922</v>
      </c>
      <c r="C2322" s="1" t="n">
        <v>45210</v>
      </c>
      <c r="D2322" t="inlineStr">
        <is>
          <t>DALARNAS LÄN</t>
        </is>
      </c>
      <c r="E2322" t="inlineStr">
        <is>
          <t>RÄTTVIK</t>
        </is>
      </c>
      <c r="F2322" t="inlineStr">
        <is>
          <t>Sveaskog</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17096-2020</t>
        </is>
      </c>
      <c r="B2323" s="1" t="n">
        <v>43922</v>
      </c>
      <c r="C2323" s="1" t="n">
        <v>45210</v>
      </c>
      <c r="D2323" t="inlineStr">
        <is>
          <t>DALARNAS LÄN</t>
        </is>
      </c>
      <c r="E2323" t="inlineStr">
        <is>
          <t>ÄLVDALEN</t>
        </is>
      </c>
      <c r="F2323" t="inlineStr">
        <is>
          <t>Allmännings- och besparingsskogar</t>
        </is>
      </c>
      <c r="G2323" t="n">
        <v>66.7</v>
      </c>
      <c r="H2323" t="n">
        <v>0</v>
      </c>
      <c r="I2323" t="n">
        <v>0</v>
      </c>
      <c r="J2323" t="n">
        <v>0</v>
      </c>
      <c r="K2323" t="n">
        <v>0</v>
      </c>
      <c r="L2323" t="n">
        <v>0</v>
      </c>
      <c r="M2323" t="n">
        <v>0</v>
      </c>
      <c r="N2323" t="n">
        <v>0</v>
      </c>
      <c r="O2323" t="n">
        <v>0</v>
      </c>
      <c r="P2323" t="n">
        <v>0</v>
      </c>
      <c r="Q2323" t="n">
        <v>0</v>
      </c>
      <c r="R2323" s="2" t="inlineStr"/>
    </row>
    <row r="2324" ht="15" customHeight="1">
      <c r="A2324" t="inlineStr">
        <is>
          <t>A 17109-2020</t>
        </is>
      </c>
      <c r="B2324" s="1" t="n">
        <v>43922</v>
      </c>
      <c r="C2324" s="1" t="n">
        <v>45210</v>
      </c>
      <c r="D2324" t="inlineStr">
        <is>
          <t>DALARNAS LÄN</t>
        </is>
      </c>
      <c r="E2324" t="inlineStr">
        <is>
          <t>ÄLVDALEN</t>
        </is>
      </c>
      <c r="F2324" t="inlineStr">
        <is>
          <t>Allmännings- och besparingsskogar</t>
        </is>
      </c>
      <c r="G2324" t="n">
        <v>22.3</v>
      </c>
      <c r="H2324" t="n">
        <v>0</v>
      </c>
      <c r="I2324" t="n">
        <v>0</v>
      </c>
      <c r="J2324" t="n">
        <v>0</v>
      </c>
      <c r="K2324" t="n">
        <v>0</v>
      </c>
      <c r="L2324" t="n">
        <v>0</v>
      </c>
      <c r="M2324" t="n">
        <v>0</v>
      </c>
      <c r="N2324" t="n">
        <v>0</v>
      </c>
      <c r="O2324" t="n">
        <v>0</v>
      </c>
      <c r="P2324" t="n">
        <v>0</v>
      </c>
      <c r="Q2324" t="n">
        <v>0</v>
      </c>
      <c r="R2324" s="2" t="inlineStr"/>
    </row>
    <row r="2325" ht="15" customHeight="1">
      <c r="A2325" t="inlineStr">
        <is>
          <t>A 17268-2020</t>
        </is>
      </c>
      <c r="B2325" s="1" t="n">
        <v>43922</v>
      </c>
      <c r="C2325" s="1" t="n">
        <v>45210</v>
      </c>
      <c r="D2325" t="inlineStr">
        <is>
          <t>DALARNAS LÄN</t>
        </is>
      </c>
      <c r="E2325" t="inlineStr">
        <is>
          <t>AVESTA</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17279-2020</t>
        </is>
      </c>
      <c r="B2326" s="1" t="n">
        <v>43922</v>
      </c>
      <c r="C2326" s="1" t="n">
        <v>45210</v>
      </c>
      <c r="D2326" t="inlineStr">
        <is>
          <t>DALARNAS LÄN</t>
        </is>
      </c>
      <c r="E2326" t="inlineStr">
        <is>
          <t>RÄTTVIK</t>
        </is>
      </c>
      <c r="F2326" t="inlineStr">
        <is>
          <t>Sveaskog</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17103-2020</t>
        </is>
      </c>
      <c r="B2327" s="1" t="n">
        <v>43922</v>
      </c>
      <c r="C2327" s="1" t="n">
        <v>45210</v>
      </c>
      <c r="D2327" t="inlineStr">
        <is>
          <t>DALARNAS LÄN</t>
        </is>
      </c>
      <c r="E2327" t="inlineStr">
        <is>
          <t>ÄLVDALEN</t>
        </is>
      </c>
      <c r="F2327" t="inlineStr">
        <is>
          <t>Allmännings- och besparingsskogar</t>
        </is>
      </c>
      <c r="G2327" t="n">
        <v>54.1</v>
      </c>
      <c r="H2327" t="n">
        <v>0</v>
      </c>
      <c r="I2327" t="n">
        <v>0</v>
      </c>
      <c r="J2327" t="n">
        <v>0</v>
      </c>
      <c r="K2327" t="n">
        <v>0</v>
      </c>
      <c r="L2327" t="n">
        <v>0</v>
      </c>
      <c r="M2327" t="n">
        <v>0</v>
      </c>
      <c r="N2327" t="n">
        <v>0</v>
      </c>
      <c r="O2327" t="n">
        <v>0</v>
      </c>
      <c r="P2327" t="n">
        <v>0</v>
      </c>
      <c r="Q2327" t="n">
        <v>0</v>
      </c>
      <c r="R2327" s="2" t="inlineStr"/>
    </row>
    <row r="2328" ht="15" customHeight="1">
      <c r="A2328" t="inlineStr">
        <is>
          <t>A 17406-2020</t>
        </is>
      </c>
      <c r="B2328" s="1" t="n">
        <v>43923</v>
      </c>
      <c r="C2328" s="1" t="n">
        <v>45210</v>
      </c>
      <c r="D2328" t="inlineStr">
        <is>
          <t>DALARNAS LÄN</t>
        </is>
      </c>
      <c r="E2328" t="inlineStr">
        <is>
          <t>ORSA</t>
        </is>
      </c>
      <c r="F2328" t="inlineStr">
        <is>
          <t>Allmännings- och besparingsskogar</t>
        </is>
      </c>
      <c r="G2328" t="n">
        <v>89.8</v>
      </c>
      <c r="H2328" t="n">
        <v>0</v>
      </c>
      <c r="I2328" t="n">
        <v>0</v>
      </c>
      <c r="J2328" t="n">
        <v>0</v>
      </c>
      <c r="K2328" t="n">
        <v>0</v>
      </c>
      <c r="L2328" t="n">
        <v>0</v>
      </c>
      <c r="M2328" t="n">
        <v>0</v>
      </c>
      <c r="N2328" t="n">
        <v>0</v>
      </c>
      <c r="O2328" t="n">
        <v>0</v>
      </c>
      <c r="P2328" t="n">
        <v>0</v>
      </c>
      <c r="Q2328" t="n">
        <v>0</v>
      </c>
      <c r="R2328" s="2" t="inlineStr"/>
    </row>
    <row r="2329" ht="15" customHeight="1">
      <c r="A2329" t="inlineStr">
        <is>
          <t>A 17597-2020</t>
        </is>
      </c>
      <c r="B2329" s="1" t="n">
        <v>43923</v>
      </c>
      <c r="C2329" s="1" t="n">
        <v>45210</v>
      </c>
      <c r="D2329" t="inlineStr">
        <is>
          <t>DALARNAS LÄN</t>
        </is>
      </c>
      <c r="E2329" t="inlineStr">
        <is>
          <t>LUDVIKA</t>
        </is>
      </c>
      <c r="F2329" t="inlineStr">
        <is>
          <t>Bergvik skog väst AB</t>
        </is>
      </c>
      <c r="G2329" t="n">
        <v>8.199999999999999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17605-2020</t>
        </is>
      </c>
      <c r="B2330" s="1" t="n">
        <v>43923</v>
      </c>
      <c r="C2330" s="1" t="n">
        <v>45210</v>
      </c>
      <c r="D2330" t="inlineStr">
        <is>
          <t>DALARNAS LÄN</t>
        </is>
      </c>
      <c r="E2330" t="inlineStr">
        <is>
          <t>LUDVIKA</t>
        </is>
      </c>
      <c r="F2330" t="inlineStr">
        <is>
          <t>Bergvik skog väst AB</t>
        </is>
      </c>
      <c r="G2330" t="n">
        <v>4.2</v>
      </c>
      <c r="H2330" t="n">
        <v>0</v>
      </c>
      <c r="I2330" t="n">
        <v>0</v>
      </c>
      <c r="J2330" t="n">
        <v>0</v>
      </c>
      <c r="K2330" t="n">
        <v>0</v>
      </c>
      <c r="L2330" t="n">
        <v>0</v>
      </c>
      <c r="M2330" t="n">
        <v>0</v>
      </c>
      <c r="N2330" t="n">
        <v>0</v>
      </c>
      <c r="O2330" t="n">
        <v>0</v>
      </c>
      <c r="P2330" t="n">
        <v>0</v>
      </c>
      <c r="Q2330" t="n">
        <v>0</v>
      </c>
      <c r="R2330" s="2" t="inlineStr"/>
    </row>
    <row r="2331" ht="15" customHeight="1">
      <c r="A2331" t="inlineStr">
        <is>
          <t>A 17598-2020</t>
        </is>
      </c>
      <c r="B2331" s="1" t="n">
        <v>43923</v>
      </c>
      <c r="C2331" s="1" t="n">
        <v>45210</v>
      </c>
      <c r="D2331" t="inlineStr">
        <is>
          <t>DALARNAS LÄN</t>
        </is>
      </c>
      <c r="E2331" t="inlineStr">
        <is>
          <t>LUDVIKA</t>
        </is>
      </c>
      <c r="F2331" t="inlineStr">
        <is>
          <t>Bergvik skog väst AB</t>
        </is>
      </c>
      <c r="G2331" t="n">
        <v>3</v>
      </c>
      <c r="H2331" t="n">
        <v>0</v>
      </c>
      <c r="I2331" t="n">
        <v>0</v>
      </c>
      <c r="J2331" t="n">
        <v>0</v>
      </c>
      <c r="K2331" t="n">
        <v>0</v>
      </c>
      <c r="L2331" t="n">
        <v>0</v>
      </c>
      <c r="M2331" t="n">
        <v>0</v>
      </c>
      <c r="N2331" t="n">
        <v>0</v>
      </c>
      <c r="O2331" t="n">
        <v>0</v>
      </c>
      <c r="P2331" t="n">
        <v>0</v>
      </c>
      <c r="Q2331" t="n">
        <v>0</v>
      </c>
      <c r="R2331" s="2" t="inlineStr"/>
    </row>
    <row r="2332" ht="15" customHeight="1">
      <c r="A2332" t="inlineStr">
        <is>
          <t>A 17344-2020</t>
        </is>
      </c>
      <c r="B2332" s="1" t="n">
        <v>43923</v>
      </c>
      <c r="C2332" s="1" t="n">
        <v>45210</v>
      </c>
      <c r="D2332" t="inlineStr">
        <is>
          <t>DALARNAS LÄN</t>
        </is>
      </c>
      <c r="E2332" t="inlineStr">
        <is>
          <t>LUDVIKA</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17366-2020</t>
        </is>
      </c>
      <c r="B2333" s="1" t="n">
        <v>43923</v>
      </c>
      <c r="C2333" s="1" t="n">
        <v>45210</v>
      </c>
      <c r="D2333" t="inlineStr">
        <is>
          <t>DALARNAS LÄN</t>
        </is>
      </c>
      <c r="E2333" t="inlineStr">
        <is>
          <t>MALUNG-SÄLEN</t>
        </is>
      </c>
      <c r="F2333" t="inlineStr">
        <is>
          <t>Kommuner</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17430-2020</t>
        </is>
      </c>
      <c r="B2334" s="1" t="n">
        <v>43923</v>
      </c>
      <c r="C2334" s="1" t="n">
        <v>45210</v>
      </c>
      <c r="D2334" t="inlineStr">
        <is>
          <t>DALARNAS LÄN</t>
        </is>
      </c>
      <c r="E2334" t="inlineStr">
        <is>
          <t>ÄLVDALEN</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17602-2020</t>
        </is>
      </c>
      <c r="B2335" s="1" t="n">
        <v>43923</v>
      </c>
      <c r="C2335" s="1" t="n">
        <v>45210</v>
      </c>
      <c r="D2335" t="inlineStr">
        <is>
          <t>DALARNAS LÄN</t>
        </is>
      </c>
      <c r="E2335" t="inlineStr">
        <is>
          <t>LUDVIKA</t>
        </is>
      </c>
      <c r="F2335" t="inlineStr">
        <is>
          <t>Bergvik skog väst AB</t>
        </is>
      </c>
      <c r="G2335" t="n">
        <v>4</v>
      </c>
      <c r="H2335" t="n">
        <v>0</v>
      </c>
      <c r="I2335" t="n">
        <v>0</v>
      </c>
      <c r="J2335" t="n">
        <v>0</v>
      </c>
      <c r="K2335" t="n">
        <v>0</v>
      </c>
      <c r="L2335" t="n">
        <v>0</v>
      </c>
      <c r="M2335" t="n">
        <v>0</v>
      </c>
      <c r="N2335" t="n">
        <v>0</v>
      </c>
      <c r="O2335" t="n">
        <v>0</v>
      </c>
      <c r="P2335" t="n">
        <v>0</v>
      </c>
      <c r="Q2335" t="n">
        <v>0</v>
      </c>
      <c r="R2335" s="2" t="inlineStr"/>
    </row>
    <row r="2336" ht="15" customHeight="1">
      <c r="A2336" t="inlineStr">
        <is>
          <t>A 17345-2020</t>
        </is>
      </c>
      <c r="B2336" s="1" t="n">
        <v>43923</v>
      </c>
      <c r="C2336" s="1" t="n">
        <v>45210</v>
      </c>
      <c r="D2336" t="inlineStr">
        <is>
          <t>DALARNAS LÄN</t>
        </is>
      </c>
      <c r="E2336" t="inlineStr">
        <is>
          <t>LUDVIKA</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17603-2020</t>
        </is>
      </c>
      <c r="B2337" s="1" t="n">
        <v>43923</v>
      </c>
      <c r="C2337" s="1" t="n">
        <v>45210</v>
      </c>
      <c r="D2337" t="inlineStr">
        <is>
          <t>DALARNAS LÄN</t>
        </is>
      </c>
      <c r="E2337" t="inlineStr">
        <is>
          <t>LUDVIKA</t>
        </is>
      </c>
      <c r="F2337" t="inlineStr">
        <is>
          <t>Bergvik skog väst AB</t>
        </is>
      </c>
      <c r="G2337" t="n">
        <v>19.9</v>
      </c>
      <c r="H2337" t="n">
        <v>0</v>
      </c>
      <c r="I2337" t="n">
        <v>0</v>
      </c>
      <c r="J2337" t="n">
        <v>0</v>
      </c>
      <c r="K2337" t="n">
        <v>0</v>
      </c>
      <c r="L2337" t="n">
        <v>0</v>
      </c>
      <c r="M2337" t="n">
        <v>0</v>
      </c>
      <c r="N2337" t="n">
        <v>0</v>
      </c>
      <c r="O2337" t="n">
        <v>0</v>
      </c>
      <c r="P2337" t="n">
        <v>0</v>
      </c>
      <c r="Q2337" t="n">
        <v>0</v>
      </c>
      <c r="R2337" s="2" t="inlineStr"/>
    </row>
    <row r="2338" ht="15" customHeight="1">
      <c r="A2338" t="inlineStr">
        <is>
          <t>A 18141-2020</t>
        </is>
      </c>
      <c r="B2338" s="1" t="n">
        <v>43924</v>
      </c>
      <c r="C2338" s="1" t="n">
        <v>45210</v>
      </c>
      <c r="D2338" t="inlineStr">
        <is>
          <t>DALARNAS LÄN</t>
        </is>
      </c>
      <c r="E2338" t="inlineStr">
        <is>
          <t>RÄTTVIK</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17865-2020</t>
        </is>
      </c>
      <c r="B2339" s="1" t="n">
        <v>43924</v>
      </c>
      <c r="C2339" s="1" t="n">
        <v>45210</v>
      </c>
      <c r="D2339" t="inlineStr">
        <is>
          <t>DALARNAS LÄN</t>
        </is>
      </c>
      <c r="E2339" t="inlineStr">
        <is>
          <t>SÄTER</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17882-2020</t>
        </is>
      </c>
      <c r="B2340" s="1" t="n">
        <v>43924</v>
      </c>
      <c r="C2340" s="1" t="n">
        <v>45210</v>
      </c>
      <c r="D2340" t="inlineStr">
        <is>
          <t>DALARNAS LÄN</t>
        </is>
      </c>
      <c r="E2340" t="inlineStr">
        <is>
          <t>HEDEMORA</t>
        </is>
      </c>
      <c r="G2340" t="n">
        <v>9.300000000000001</v>
      </c>
      <c r="H2340" t="n">
        <v>0</v>
      </c>
      <c r="I2340" t="n">
        <v>0</v>
      </c>
      <c r="J2340" t="n">
        <v>0</v>
      </c>
      <c r="K2340" t="n">
        <v>0</v>
      </c>
      <c r="L2340" t="n">
        <v>0</v>
      </c>
      <c r="M2340" t="n">
        <v>0</v>
      </c>
      <c r="N2340" t="n">
        <v>0</v>
      </c>
      <c r="O2340" t="n">
        <v>0</v>
      </c>
      <c r="P2340" t="n">
        <v>0</v>
      </c>
      <c r="Q2340" t="n">
        <v>0</v>
      </c>
      <c r="R2340" s="2" t="inlineStr"/>
    </row>
    <row r="2341" ht="15" customHeight="1">
      <c r="A2341" t="inlineStr">
        <is>
          <t>A 18140-2020</t>
        </is>
      </c>
      <c r="B2341" s="1" t="n">
        <v>43924</v>
      </c>
      <c r="C2341" s="1" t="n">
        <v>45210</v>
      </c>
      <c r="D2341" t="inlineStr">
        <is>
          <t>DALARNAS LÄN</t>
        </is>
      </c>
      <c r="E2341" t="inlineStr">
        <is>
          <t>RÄTTVIK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17809-2020</t>
        </is>
      </c>
      <c r="B2342" s="1" t="n">
        <v>43924</v>
      </c>
      <c r="C2342" s="1" t="n">
        <v>45210</v>
      </c>
      <c r="D2342" t="inlineStr">
        <is>
          <t>DALARNAS LÄN</t>
        </is>
      </c>
      <c r="E2342" t="inlineStr">
        <is>
          <t>LUDVIKA</t>
        </is>
      </c>
      <c r="F2342" t="inlineStr">
        <is>
          <t>Bergvik skog väst AB</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17708-2020</t>
        </is>
      </c>
      <c r="B2343" s="1" t="n">
        <v>43924</v>
      </c>
      <c r="C2343" s="1" t="n">
        <v>45210</v>
      </c>
      <c r="D2343" t="inlineStr">
        <is>
          <t>DALARNAS LÄN</t>
        </is>
      </c>
      <c r="E2343" t="inlineStr">
        <is>
          <t>SÄTER</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17939-2020</t>
        </is>
      </c>
      <c r="B2344" s="1" t="n">
        <v>43924</v>
      </c>
      <c r="C2344" s="1" t="n">
        <v>45210</v>
      </c>
      <c r="D2344" t="inlineStr">
        <is>
          <t>DALARNAS LÄN</t>
        </is>
      </c>
      <c r="E2344" t="inlineStr">
        <is>
          <t>SÄTER</t>
        </is>
      </c>
      <c r="F2344" t="inlineStr">
        <is>
          <t>Bergvik skog väst AB</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18065-2020</t>
        </is>
      </c>
      <c r="B2345" s="1" t="n">
        <v>43927</v>
      </c>
      <c r="C2345" s="1" t="n">
        <v>45210</v>
      </c>
      <c r="D2345" t="inlineStr">
        <is>
          <t>DALARNAS LÄN</t>
        </is>
      </c>
      <c r="E2345" t="inlineStr">
        <is>
          <t>SMEDJEBACKEN</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18068-2020</t>
        </is>
      </c>
      <c r="B2346" s="1" t="n">
        <v>43927</v>
      </c>
      <c r="C2346" s="1" t="n">
        <v>45210</v>
      </c>
      <c r="D2346" t="inlineStr">
        <is>
          <t>DALARNAS LÄN</t>
        </is>
      </c>
      <c r="E2346" t="inlineStr">
        <is>
          <t>SMEDJEBACKEN</t>
        </is>
      </c>
      <c r="G2346" t="n">
        <v>3.5</v>
      </c>
      <c r="H2346" t="n">
        <v>0</v>
      </c>
      <c r="I2346" t="n">
        <v>0</v>
      </c>
      <c r="J2346" t="n">
        <v>0</v>
      </c>
      <c r="K2346" t="n">
        <v>0</v>
      </c>
      <c r="L2346" t="n">
        <v>0</v>
      </c>
      <c r="M2346" t="n">
        <v>0</v>
      </c>
      <c r="N2346" t="n">
        <v>0</v>
      </c>
      <c r="O2346" t="n">
        <v>0</v>
      </c>
      <c r="P2346" t="n">
        <v>0</v>
      </c>
      <c r="Q2346" t="n">
        <v>0</v>
      </c>
      <c r="R2346" s="2" t="inlineStr"/>
    </row>
    <row r="2347" ht="15" customHeight="1">
      <c r="A2347" t="inlineStr">
        <is>
          <t>A 18150-2020</t>
        </is>
      </c>
      <c r="B2347" s="1" t="n">
        <v>43927</v>
      </c>
      <c r="C2347" s="1" t="n">
        <v>45210</v>
      </c>
      <c r="D2347" t="inlineStr">
        <is>
          <t>DALARNAS LÄN</t>
        </is>
      </c>
      <c r="E2347" t="inlineStr">
        <is>
          <t>MALUNG-SÄLEN</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18385-2020</t>
        </is>
      </c>
      <c r="B2348" s="1" t="n">
        <v>43927</v>
      </c>
      <c r="C2348" s="1" t="n">
        <v>45210</v>
      </c>
      <c r="D2348" t="inlineStr">
        <is>
          <t>DALARNAS LÄN</t>
        </is>
      </c>
      <c r="E2348" t="inlineStr">
        <is>
          <t>RÄTTVIK</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18108-2020</t>
        </is>
      </c>
      <c r="B2349" s="1" t="n">
        <v>43927</v>
      </c>
      <c r="C2349" s="1" t="n">
        <v>45210</v>
      </c>
      <c r="D2349" t="inlineStr">
        <is>
          <t>DALARNAS LÄN</t>
        </is>
      </c>
      <c r="E2349" t="inlineStr">
        <is>
          <t>BORLÄNGE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18396-2020</t>
        </is>
      </c>
      <c r="B2350" s="1" t="n">
        <v>43927</v>
      </c>
      <c r="C2350" s="1" t="n">
        <v>45210</v>
      </c>
      <c r="D2350" t="inlineStr">
        <is>
          <t>DALARNAS LÄN</t>
        </is>
      </c>
      <c r="E2350" t="inlineStr">
        <is>
          <t>RÄTTVIK</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18378-2020</t>
        </is>
      </c>
      <c r="B2351" s="1" t="n">
        <v>43928</v>
      </c>
      <c r="C2351" s="1" t="n">
        <v>45210</v>
      </c>
      <c r="D2351" t="inlineStr">
        <is>
          <t>DALARNAS LÄN</t>
        </is>
      </c>
      <c r="E2351" t="inlineStr">
        <is>
          <t>ÄLVDALEN</t>
        </is>
      </c>
      <c r="F2351" t="inlineStr">
        <is>
          <t>Allmännings- och besparingsskogar</t>
        </is>
      </c>
      <c r="G2351" t="n">
        <v>48.4</v>
      </c>
      <c r="H2351" t="n">
        <v>0</v>
      </c>
      <c r="I2351" t="n">
        <v>0</v>
      </c>
      <c r="J2351" t="n">
        <v>0</v>
      </c>
      <c r="K2351" t="n">
        <v>0</v>
      </c>
      <c r="L2351" t="n">
        <v>0</v>
      </c>
      <c r="M2351" t="n">
        <v>0</v>
      </c>
      <c r="N2351" t="n">
        <v>0</v>
      </c>
      <c r="O2351" t="n">
        <v>0</v>
      </c>
      <c r="P2351" t="n">
        <v>0</v>
      </c>
      <c r="Q2351" t="n">
        <v>0</v>
      </c>
      <c r="R2351" s="2" t="inlineStr"/>
    </row>
    <row r="2352" ht="15" customHeight="1">
      <c r="A2352" t="inlineStr">
        <is>
          <t>A 18324-2020</t>
        </is>
      </c>
      <c r="B2352" s="1" t="n">
        <v>43928</v>
      </c>
      <c r="C2352" s="1" t="n">
        <v>45210</v>
      </c>
      <c r="D2352" t="inlineStr">
        <is>
          <t>DALARNAS LÄN</t>
        </is>
      </c>
      <c r="E2352" t="inlineStr">
        <is>
          <t>RÄTTVIK</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18384-2020</t>
        </is>
      </c>
      <c r="B2353" s="1" t="n">
        <v>43928</v>
      </c>
      <c r="C2353" s="1" t="n">
        <v>45210</v>
      </c>
      <c r="D2353" t="inlineStr">
        <is>
          <t>DALARNAS LÄN</t>
        </is>
      </c>
      <c r="E2353" t="inlineStr">
        <is>
          <t>MORA</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18625-2020</t>
        </is>
      </c>
      <c r="B2354" s="1" t="n">
        <v>43928</v>
      </c>
      <c r="C2354" s="1" t="n">
        <v>45210</v>
      </c>
      <c r="D2354" t="inlineStr">
        <is>
          <t>DALARNAS LÄN</t>
        </is>
      </c>
      <c r="E2354" t="inlineStr">
        <is>
          <t>MALUNG-SÄLEN</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18327-2020</t>
        </is>
      </c>
      <c r="B2355" s="1" t="n">
        <v>43928</v>
      </c>
      <c r="C2355" s="1" t="n">
        <v>45210</v>
      </c>
      <c r="D2355" t="inlineStr">
        <is>
          <t>DALARNAS LÄN</t>
        </is>
      </c>
      <c r="E2355" t="inlineStr">
        <is>
          <t>RÄTTVIK</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18496-2020</t>
        </is>
      </c>
      <c r="B2356" s="1" t="n">
        <v>43929</v>
      </c>
      <c r="C2356" s="1" t="n">
        <v>45210</v>
      </c>
      <c r="D2356" t="inlineStr">
        <is>
          <t>DALARNAS LÄN</t>
        </is>
      </c>
      <c r="E2356" t="inlineStr">
        <is>
          <t>GAGNEF</t>
        </is>
      </c>
      <c r="G2356" t="n">
        <v>7.3</v>
      </c>
      <c r="H2356" t="n">
        <v>0</v>
      </c>
      <c r="I2356" t="n">
        <v>0</v>
      </c>
      <c r="J2356" t="n">
        <v>0</v>
      </c>
      <c r="K2356" t="n">
        <v>0</v>
      </c>
      <c r="L2356" t="n">
        <v>0</v>
      </c>
      <c r="M2356" t="n">
        <v>0</v>
      </c>
      <c r="N2356" t="n">
        <v>0</v>
      </c>
      <c r="O2356" t="n">
        <v>0</v>
      </c>
      <c r="P2356" t="n">
        <v>0</v>
      </c>
      <c r="Q2356" t="n">
        <v>0</v>
      </c>
      <c r="R2356" s="2" t="inlineStr"/>
    </row>
    <row r="2357" ht="15" customHeight="1">
      <c r="A2357" t="inlineStr">
        <is>
          <t>A 18541-2020</t>
        </is>
      </c>
      <c r="B2357" s="1" t="n">
        <v>43929</v>
      </c>
      <c r="C2357" s="1" t="n">
        <v>45210</v>
      </c>
      <c r="D2357" t="inlineStr">
        <is>
          <t>DALARNAS LÄN</t>
        </is>
      </c>
      <c r="E2357" t="inlineStr">
        <is>
          <t>AVESTA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18500-2020</t>
        </is>
      </c>
      <c r="B2358" s="1" t="n">
        <v>43929</v>
      </c>
      <c r="C2358" s="1" t="n">
        <v>45210</v>
      </c>
      <c r="D2358" t="inlineStr">
        <is>
          <t>DALARNAS LÄN</t>
        </is>
      </c>
      <c r="E2358" t="inlineStr">
        <is>
          <t>SMEDJEBACKEN</t>
        </is>
      </c>
      <c r="G2358" t="n">
        <v>4.3</v>
      </c>
      <c r="H2358" t="n">
        <v>0</v>
      </c>
      <c r="I2358" t="n">
        <v>0</v>
      </c>
      <c r="J2358" t="n">
        <v>0</v>
      </c>
      <c r="K2358" t="n">
        <v>0</v>
      </c>
      <c r="L2358" t="n">
        <v>0</v>
      </c>
      <c r="M2358" t="n">
        <v>0</v>
      </c>
      <c r="N2358" t="n">
        <v>0</v>
      </c>
      <c r="O2358" t="n">
        <v>0</v>
      </c>
      <c r="P2358" t="n">
        <v>0</v>
      </c>
      <c r="Q2358" t="n">
        <v>0</v>
      </c>
      <c r="R2358" s="2" t="inlineStr"/>
    </row>
    <row r="2359" ht="15" customHeight="1">
      <c r="A2359" t="inlineStr">
        <is>
          <t>A 18751-2020</t>
        </is>
      </c>
      <c r="B2359" s="1" t="n">
        <v>43930</v>
      </c>
      <c r="C2359" s="1" t="n">
        <v>45210</v>
      </c>
      <c r="D2359" t="inlineStr">
        <is>
          <t>DALARNAS LÄN</t>
        </is>
      </c>
      <c r="E2359" t="inlineStr">
        <is>
          <t>MALUNG-SÄLEN</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18686-2020</t>
        </is>
      </c>
      <c r="B2360" s="1" t="n">
        <v>43930</v>
      </c>
      <c r="C2360" s="1" t="n">
        <v>45210</v>
      </c>
      <c r="D2360" t="inlineStr">
        <is>
          <t>DALARNAS LÄN</t>
        </is>
      </c>
      <c r="E2360" t="inlineStr">
        <is>
          <t>AVESTA</t>
        </is>
      </c>
      <c r="F2360" t="inlineStr">
        <is>
          <t>Sveaskog</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18754-2020</t>
        </is>
      </c>
      <c r="B2361" s="1" t="n">
        <v>43930</v>
      </c>
      <c r="C2361" s="1" t="n">
        <v>45210</v>
      </c>
      <c r="D2361" t="inlineStr">
        <is>
          <t>DALARNAS LÄN</t>
        </is>
      </c>
      <c r="E2361" t="inlineStr">
        <is>
          <t>RÄTTVIK</t>
        </is>
      </c>
      <c r="F2361" t="inlineStr">
        <is>
          <t>Bergvik skog väst AB</t>
        </is>
      </c>
      <c r="G2361" t="n">
        <v>19.7</v>
      </c>
      <c r="H2361" t="n">
        <v>0</v>
      </c>
      <c r="I2361" t="n">
        <v>0</v>
      </c>
      <c r="J2361" t="n">
        <v>0</v>
      </c>
      <c r="K2361" t="n">
        <v>0</v>
      </c>
      <c r="L2361" t="n">
        <v>0</v>
      </c>
      <c r="M2361" t="n">
        <v>0</v>
      </c>
      <c r="N2361" t="n">
        <v>0</v>
      </c>
      <c r="O2361" t="n">
        <v>0</v>
      </c>
      <c r="P2361" t="n">
        <v>0</v>
      </c>
      <c r="Q2361" t="n">
        <v>0</v>
      </c>
      <c r="R2361" s="2" t="inlineStr"/>
    </row>
    <row r="2362" ht="15" customHeight="1">
      <c r="A2362" t="inlineStr">
        <is>
          <t>A 18622-2020</t>
        </is>
      </c>
      <c r="B2362" s="1" t="n">
        <v>43930</v>
      </c>
      <c r="C2362" s="1" t="n">
        <v>45210</v>
      </c>
      <c r="D2362" t="inlineStr">
        <is>
          <t>DALARNAS LÄN</t>
        </is>
      </c>
      <c r="E2362" t="inlineStr">
        <is>
          <t>GAGNEF</t>
        </is>
      </c>
      <c r="G2362" t="n">
        <v>11.3</v>
      </c>
      <c r="H2362" t="n">
        <v>0</v>
      </c>
      <c r="I2362" t="n">
        <v>0</v>
      </c>
      <c r="J2362" t="n">
        <v>0</v>
      </c>
      <c r="K2362" t="n">
        <v>0</v>
      </c>
      <c r="L2362" t="n">
        <v>0</v>
      </c>
      <c r="M2362" t="n">
        <v>0</v>
      </c>
      <c r="N2362" t="n">
        <v>0</v>
      </c>
      <c r="O2362" t="n">
        <v>0</v>
      </c>
      <c r="P2362" t="n">
        <v>0</v>
      </c>
      <c r="Q2362" t="n">
        <v>0</v>
      </c>
      <c r="R2362" s="2" t="inlineStr"/>
    </row>
    <row r="2363" ht="15" customHeight="1">
      <c r="A2363" t="inlineStr">
        <is>
          <t>A 18797-2020</t>
        </is>
      </c>
      <c r="B2363" s="1" t="n">
        <v>43933</v>
      </c>
      <c r="C2363" s="1" t="n">
        <v>45210</v>
      </c>
      <c r="D2363" t="inlineStr">
        <is>
          <t>DALARNAS LÄN</t>
        </is>
      </c>
      <c r="E2363" t="inlineStr">
        <is>
          <t>RÄTTVIK</t>
        </is>
      </c>
      <c r="F2363" t="inlineStr">
        <is>
          <t>Sveaskog</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18803-2020</t>
        </is>
      </c>
      <c r="B2364" s="1" t="n">
        <v>43933</v>
      </c>
      <c r="C2364" s="1" t="n">
        <v>45210</v>
      </c>
      <c r="D2364" t="inlineStr">
        <is>
          <t>DALARNAS LÄN</t>
        </is>
      </c>
      <c r="E2364" t="inlineStr">
        <is>
          <t>LEKSAND</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18798-2020</t>
        </is>
      </c>
      <c r="B2365" s="1" t="n">
        <v>43933</v>
      </c>
      <c r="C2365" s="1" t="n">
        <v>45210</v>
      </c>
      <c r="D2365" t="inlineStr">
        <is>
          <t>DALARNAS LÄN</t>
        </is>
      </c>
      <c r="E2365" t="inlineStr">
        <is>
          <t>RÄTTVIK</t>
        </is>
      </c>
      <c r="F2365" t="inlineStr">
        <is>
          <t>Sveaskog</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18955-2020</t>
        </is>
      </c>
      <c r="B2366" s="1" t="n">
        <v>43935</v>
      </c>
      <c r="C2366" s="1" t="n">
        <v>45210</v>
      </c>
      <c r="D2366" t="inlineStr">
        <is>
          <t>DALARNAS LÄN</t>
        </is>
      </c>
      <c r="E2366" t="inlineStr">
        <is>
          <t>HEDEMORA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18978-2020</t>
        </is>
      </c>
      <c r="B2367" s="1" t="n">
        <v>43935</v>
      </c>
      <c r="C2367" s="1" t="n">
        <v>45210</v>
      </c>
      <c r="D2367" t="inlineStr">
        <is>
          <t>DALARNAS LÄN</t>
        </is>
      </c>
      <c r="E2367" t="inlineStr">
        <is>
          <t>MORA</t>
        </is>
      </c>
      <c r="F2367" t="inlineStr">
        <is>
          <t>Bergvik skog öst AB</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19115-2020</t>
        </is>
      </c>
      <c r="B2368" s="1" t="n">
        <v>43935</v>
      </c>
      <c r="C2368" s="1" t="n">
        <v>45210</v>
      </c>
      <c r="D2368" t="inlineStr">
        <is>
          <t>DALARNAS LÄN</t>
        </is>
      </c>
      <c r="E2368" t="inlineStr">
        <is>
          <t>RÄTTVIK</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18989-2020</t>
        </is>
      </c>
      <c r="B2369" s="1" t="n">
        <v>43935</v>
      </c>
      <c r="C2369" s="1" t="n">
        <v>45210</v>
      </c>
      <c r="D2369" t="inlineStr">
        <is>
          <t>DALARNAS LÄN</t>
        </is>
      </c>
      <c r="E2369" t="inlineStr">
        <is>
          <t>MORA</t>
        </is>
      </c>
      <c r="F2369" t="inlineStr">
        <is>
          <t>Bergvik skog öst AB</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18824-2020</t>
        </is>
      </c>
      <c r="B2370" s="1" t="n">
        <v>43935</v>
      </c>
      <c r="C2370" s="1" t="n">
        <v>45210</v>
      </c>
      <c r="D2370" t="inlineStr">
        <is>
          <t>DALARNAS LÄN</t>
        </is>
      </c>
      <c r="E2370" t="inlineStr">
        <is>
          <t>HEDEMORA</t>
        </is>
      </c>
      <c r="F2370" t="inlineStr">
        <is>
          <t>Sveaskog</t>
        </is>
      </c>
      <c r="G2370" t="n">
        <v>22.7</v>
      </c>
      <c r="H2370" t="n">
        <v>0</v>
      </c>
      <c r="I2370" t="n">
        <v>0</v>
      </c>
      <c r="J2370" t="n">
        <v>0</v>
      </c>
      <c r="K2370" t="n">
        <v>0</v>
      </c>
      <c r="L2370" t="n">
        <v>0</v>
      </c>
      <c r="M2370" t="n">
        <v>0</v>
      </c>
      <c r="N2370" t="n">
        <v>0</v>
      </c>
      <c r="O2370" t="n">
        <v>0</v>
      </c>
      <c r="P2370" t="n">
        <v>0</v>
      </c>
      <c r="Q2370" t="n">
        <v>0</v>
      </c>
      <c r="R2370" s="2" t="inlineStr"/>
    </row>
    <row r="2371" ht="15" customHeight="1">
      <c r="A2371" t="inlineStr">
        <is>
          <t>A 19278-2020</t>
        </is>
      </c>
      <c r="B2371" s="1" t="n">
        <v>43937</v>
      </c>
      <c r="C2371" s="1" t="n">
        <v>45210</v>
      </c>
      <c r="D2371" t="inlineStr">
        <is>
          <t>DALARNAS LÄN</t>
        </is>
      </c>
      <c r="E2371" t="inlineStr">
        <is>
          <t>RÄTTVIK</t>
        </is>
      </c>
      <c r="F2371" t="inlineStr">
        <is>
          <t>Sveaskog</t>
        </is>
      </c>
      <c r="G2371" t="n">
        <v>1.7</v>
      </c>
      <c r="H2371" t="n">
        <v>0</v>
      </c>
      <c r="I2371" t="n">
        <v>0</v>
      </c>
      <c r="J2371" t="n">
        <v>0</v>
      </c>
      <c r="K2371" t="n">
        <v>0</v>
      </c>
      <c r="L2371" t="n">
        <v>0</v>
      </c>
      <c r="M2371" t="n">
        <v>0</v>
      </c>
      <c r="N2371" t="n">
        <v>0</v>
      </c>
      <c r="O2371" t="n">
        <v>0</v>
      </c>
      <c r="P2371" t="n">
        <v>0</v>
      </c>
      <c r="Q2371" t="n">
        <v>0</v>
      </c>
      <c r="R2371" s="2" t="inlineStr"/>
    </row>
    <row r="2372" ht="15" customHeight="1">
      <c r="A2372" t="inlineStr">
        <is>
          <t>A 23179-2020</t>
        </is>
      </c>
      <c r="B2372" s="1" t="n">
        <v>43937</v>
      </c>
      <c r="C2372" s="1" t="n">
        <v>45210</v>
      </c>
      <c r="D2372" t="inlineStr">
        <is>
          <t>DALARNAS LÄN</t>
        </is>
      </c>
      <c r="E2372" t="inlineStr">
        <is>
          <t>ÄLVDALEN</t>
        </is>
      </c>
      <c r="F2372" t="inlineStr">
        <is>
          <t>Sveaskog</t>
        </is>
      </c>
      <c r="G2372" t="n">
        <v>75.09999999999999</v>
      </c>
      <c r="H2372" t="n">
        <v>0</v>
      </c>
      <c r="I2372" t="n">
        <v>0</v>
      </c>
      <c r="J2372" t="n">
        <v>0</v>
      </c>
      <c r="K2372" t="n">
        <v>0</v>
      </c>
      <c r="L2372" t="n">
        <v>0</v>
      </c>
      <c r="M2372" t="n">
        <v>0</v>
      </c>
      <c r="N2372" t="n">
        <v>0</v>
      </c>
      <c r="O2372" t="n">
        <v>0</v>
      </c>
      <c r="P2372" t="n">
        <v>0</v>
      </c>
      <c r="Q2372" t="n">
        <v>0</v>
      </c>
      <c r="R2372" s="2" t="inlineStr"/>
    </row>
    <row r="2373" ht="15" customHeight="1">
      <c r="A2373" t="inlineStr">
        <is>
          <t>A 19208-2020</t>
        </is>
      </c>
      <c r="B2373" s="1" t="n">
        <v>43937</v>
      </c>
      <c r="C2373" s="1" t="n">
        <v>45210</v>
      </c>
      <c r="D2373" t="inlineStr">
        <is>
          <t>DALARNAS LÄN</t>
        </is>
      </c>
      <c r="E2373" t="inlineStr">
        <is>
          <t>ORSA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19307-2020</t>
        </is>
      </c>
      <c r="B2374" s="1" t="n">
        <v>43937</v>
      </c>
      <c r="C2374" s="1" t="n">
        <v>45210</v>
      </c>
      <c r="D2374" t="inlineStr">
        <is>
          <t>DALARNAS LÄN</t>
        </is>
      </c>
      <c r="E2374" t="inlineStr">
        <is>
          <t>FALUN</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19507-2020</t>
        </is>
      </c>
      <c r="B2375" s="1" t="n">
        <v>43938</v>
      </c>
      <c r="C2375" s="1" t="n">
        <v>45210</v>
      </c>
      <c r="D2375" t="inlineStr">
        <is>
          <t>DALARNAS LÄN</t>
        </is>
      </c>
      <c r="E2375" t="inlineStr">
        <is>
          <t>MORA</t>
        </is>
      </c>
      <c r="F2375" t="inlineStr">
        <is>
          <t>Bergvik skog öst AB</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19366-2020</t>
        </is>
      </c>
      <c r="B2376" s="1" t="n">
        <v>43938</v>
      </c>
      <c r="C2376" s="1" t="n">
        <v>45210</v>
      </c>
      <c r="D2376" t="inlineStr">
        <is>
          <t>DALARNAS LÄN</t>
        </is>
      </c>
      <c r="E2376" t="inlineStr">
        <is>
          <t>MALUNG-SÄLEN</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19361-2020</t>
        </is>
      </c>
      <c r="B2377" s="1" t="n">
        <v>43938</v>
      </c>
      <c r="C2377" s="1" t="n">
        <v>45210</v>
      </c>
      <c r="D2377" t="inlineStr">
        <is>
          <t>DALARNAS LÄN</t>
        </is>
      </c>
      <c r="E2377" t="inlineStr">
        <is>
          <t>LEKSAND</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19446-2020</t>
        </is>
      </c>
      <c r="B2378" s="1" t="n">
        <v>43938</v>
      </c>
      <c r="C2378" s="1" t="n">
        <v>45210</v>
      </c>
      <c r="D2378" t="inlineStr">
        <is>
          <t>DALARNAS LÄN</t>
        </is>
      </c>
      <c r="E2378" t="inlineStr">
        <is>
          <t>BORLÄNGE</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19633-2020</t>
        </is>
      </c>
      <c r="B2379" s="1" t="n">
        <v>43941</v>
      </c>
      <c r="C2379" s="1" t="n">
        <v>45210</v>
      </c>
      <c r="D2379" t="inlineStr">
        <is>
          <t>DALARNAS LÄN</t>
        </is>
      </c>
      <c r="E2379" t="inlineStr">
        <is>
          <t>SMEDJEBACKEN</t>
        </is>
      </c>
      <c r="F2379" t="inlineStr">
        <is>
          <t>Övriga Aktiebolag</t>
        </is>
      </c>
      <c r="G2379" t="n">
        <v>6.6</v>
      </c>
      <c r="H2379" t="n">
        <v>0</v>
      </c>
      <c r="I2379" t="n">
        <v>0</v>
      </c>
      <c r="J2379" t="n">
        <v>0</v>
      </c>
      <c r="K2379" t="n">
        <v>0</v>
      </c>
      <c r="L2379" t="n">
        <v>0</v>
      </c>
      <c r="M2379" t="n">
        <v>0</v>
      </c>
      <c r="N2379" t="n">
        <v>0</v>
      </c>
      <c r="O2379" t="n">
        <v>0</v>
      </c>
      <c r="P2379" t="n">
        <v>0</v>
      </c>
      <c r="Q2379" t="n">
        <v>0</v>
      </c>
      <c r="R2379" s="2" t="inlineStr"/>
    </row>
    <row r="2380" ht="15" customHeight="1">
      <c r="A2380" t="inlineStr">
        <is>
          <t>A 19870-2020</t>
        </is>
      </c>
      <c r="B2380" s="1" t="n">
        <v>43941</v>
      </c>
      <c r="C2380" s="1" t="n">
        <v>45210</v>
      </c>
      <c r="D2380" t="inlineStr">
        <is>
          <t>DALARNAS LÄN</t>
        </is>
      </c>
      <c r="E2380" t="inlineStr">
        <is>
          <t>RÄTTVIK</t>
        </is>
      </c>
      <c r="G2380" t="n">
        <v>4.3</v>
      </c>
      <c r="H2380" t="n">
        <v>0</v>
      </c>
      <c r="I2380" t="n">
        <v>0</v>
      </c>
      <c r="J2380" t="n">
        <v>0</v>
      </c>
      <c r="K2380" t="n">
        <v>0</v>
      </c>
      <c r="L2380" t="n">
        <v>0</v>
      </c>
      <c r="M2380" t="n">
        <v>0</v>
      </c>
      <c r="N2380" t="n">
        <v>0</v>
      </c>
      <c r="O2380" t="n">
        <v>0</v>
      </c>
      <c r="P2380" t="n">
        <v>0</v>
      </c>
      <c r="Q2380" t="n">
        <v>0</v>
      </c>
      <c r="R2380" s="2" t="inlineStr"/>
    </row>
    <row r="2381" ht="15" customHeight="1">
      <c r="A2381" t="inlineStr">
        <is>
          <t>A 19667-2020</t>
        </is>
      </c>
      <c r="B2381" s="1" t="n">
        <v>43941</v>
      </c>
      <c r="C2381" s="1" t="n">
        <v>45210</v>
      </c>
      <c r="D2381" t="inlineStr">
        <is>
          <t>DALARNAS LÄN</t>
        </is>
      </c>
      <c r="E2381" t="inlineStr">
        <is>
          <t>BORLÄNGE</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19695-2020</t>
        </is>
      </c>
      <c r="B2382" s="1" t="n">
        <v>43941</v>
      </c>
      <c r="C2382" s="1" t="n">
        <v>45210</v>
      </c>
      <c r="D2382" t="inlineStr">
        <is>
          <t>DALARNAS LÄN</t>
        </is>
      </c>
      <c r="E2382" t="inlineStr">
        <is>
          <t>SÄTER</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19877-2020</t>
        </is>
      </c>
      <c r="B2383" s="1" t="n">
        <v>43941</v>
      </c>
      <c r="C2383" s="1" t="n">
        <v>45210</v>
      </c>
      <c r="D2383" t="inlineStr">
        <is>
          <t>DALARNAS LÄN</t>
        </is>
      </c>
      <c r="E2383" t="inlineStr">
        <is>
          <t>RÄTTVIK</t>
        </is>
      </c>
      <c r="G2383" t="n">
        <v>4.8</v>
      </c>
      <c r="H2383" t="n">
        <v>0</v>
      </c>
      <c r="I2383" t="n">
        <v>0</v>
      </c>
      <c r="J2383" t="n">
        <v>0</v>
      </c>
      <c r="K2383" t="n">
        <v>0</v>
      </c>
      <c r="L2383" t="n">
        <v>0</v>
      </c>
      <c r="M2383" t="n">
        <v>0</v>
      </c>
      <c r="N2383" t="n">
        <v>0</v>
      </c>
      <c r="O2383" t="n">
        <v>0</v>
      </c>
      <c r="P2383" t="n">
        <v>0</v>
      </c>
      <c r="Q2383" t="n">
        <v>0</v>
      </c>
      <c r="R2383" s="2" t="inlineStr"/>
    </row>
    <row r="2384" ht="15" customHeight="1">
      <c r="A2384" t="inlineStr">
        <is>
          <t>A 19850-2020</t>
        </is>
      </c>
      <c r="B2384" s="1" t="n">
        <v>43942</v>
      </c>
      <c r="C2384" s="1" t="n">
        <v>45210</v>
      </c>
      <c r="D2384" t="inlineStr">
        <is>
          <t>DALARNAS LÄN</t>
        </is>
      </c>
      <c r="E2384" t="inlineStr">
        <is>
          <t>SMEDJEBACKEN</t>
        </is>
      </c>
      <c r="G2384" t="n">
        <v>4.2</v>
      </c>
      <c r="H2384" t="n">
        <v>0</v>
      </c>
      <c r="I2384" t="n">
        <v>0</v>
      </c>
      <c r="J2384" t="n">
        <v>0</v>
      </c>
      <c r="K2384" t="n">
        <v>0</v>
      </c>
      <c r="L2384" t="n">
        <v>0</v>
      </c>
      <c r="M2384" t="n">
        <v>0</v>
      </c>
      <c r="N2384" t="n">
        <v>0</v>
      </c>
      <c r="O2384" t="n">
        <v>0</v>
      </c>
      <c r="P2384" t="n">
        <v>0</v>
      </c>
      <c r="Q2384" t="n">
        <v>0</v>
      </c>
      <c r="R2384" s="2" t="inlineStr"/>
    </row>
    <row r="2385" ht="15" customHeight="1">
      <c r="A2385" t="inlineStr">
        <is>
          <t>A 20042-2020</t>
        </is>
      </c>
      <c r="B2385" s="1" t="n">
        <v>43943</v>
      </c>
      <c r="C2385" s="1" t="n">
        <v>45210</v>
      </c>
      <c r="D2385" t="inlineStr">
        <is>
          <t>DALARNAS LÄN</t>
        </is>
      </c>
      <c r="E2385" t="inlineStr">
        <is>
          <t>MALUNG-SÄLEN</t>
        </is>
      </c>
      <c r="G2385" t="n">
        <v>9.699999999999999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20189-2020</t>
        </is>
      </c>
      <c r="B2386" s="1" t="n">
        <v>43944</v>
      </c>
      <c r="C2386" s="1" t="n">
        <v>45210</v>
      </c>
      <c r="D2386" t="inlineStr">
        <is>
          <t>DALARNAS LÄN</t>
        </is>
      </c>
      <c r="E2386" t="inlineStr">
        <is>
          <t>ÄLVDALEN</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20290-2020</t>
        </is>
      </c>
      <c r="B2387" s="1" t="n">
        <v>43944</v>
      </c>
      <c r="C2387" s="1" t="n">
        <v>45210</v>
      </c>
      <c r="D2387" t="inlineStr">
        <is>
          <t>DALARNAS LÄN</t>
        </is>
      </c>
      <c r="E2387" t="inlineStr">
        <is>
          <t>ÄLVDALEN</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20331-2020</t>
        </is>
      </c>
      <c r="B2388" s="1" t="n">
        <v>43945</v>
      </c>
      <c r="C2388" s="1" t="n">
        <v>45210</v>
      </c>
      <c r="D2388" t="inlineStr">
        <is>
          <t>DALARNAS LÄN</t>
        </is>
      </c>
      <c r="E2388" t="inlineStr">
        <is>
          <t>FALUN</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20501-2020</t>
        </is>
      </c>
      <c r="B2389" s="1" t="n">
        <v>43948</v>
      </c>
      <c r="C2389" s="1" t="n">
        <v>45210</v>
      </c>
      <c r="D2389" t="inlineStr">
        <is>
          <t>DALARNAS LÄN</t>
        </is>
      </c>
      <c r="E2389" t="inlineStr">
        <is>
          <t>BORLÄNGE</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20543-2020</t>
        </is>
      </c>
      <c r="B2390" s="1" t="n">
        <v>43948</v>
      </c>
      <c r="C2390" s="1" t="n">
        <v>45210</v>
      </c>
      <c r="D2390" t="inlineStr">
        <is>
          <t>DALARNAS LÄN</t>
        </is>
      </c>
      <c r="E2390" t="inlineStr">
        <is>
          <t>FALUN</t>
        </is>
      </c>
      <c r="G2390" t="n">
        <v>3.4</v>
      </c>
      <c r="H2390" t="n">
        <v>0</v>
      </c>
      <c r="I2390" t="n">
        <v>0</v>
      </c>
      <c r="J2390" t="n">
        <v>0</v>
      </c>
      <c r="K2390" t="n">
        <v>0</v>
      </c>
      <c r="L2390" t="n">
        <v>0</v>
      </c>
      <c r="M2390" t="n">
        <v>0</v>
      </c>
      <c r="N2390" t="n">
        <v>0</v>
      </c>
      <c r="O2390" t="n">
        <v>0</v>
      </c>
      <c r="P2390" t="n">
        <v>0</v>
      </c>
      <c r="Q2390" t="n">
        <v>0</v>
      </c>
      <c r="R2390" s="2" t="inlineStr"/>
    </row>
    <row r="2391" ht="15" customHeight="1">
      <c r="A2391" t="inlineStr">
        <is>
          <t>A 20590-2020</t>
        </is>
      </c>
      <c r="B2391" s="1" t="n">
        <v>43948</v>
      </c>
      <c r="C2391" s="1" t="n">
        <v>45210</v>
      </c>
      <c r="D2391" t="inlineStr">
        <is>
          <t>DALARNAS LÄN</t>
        </is>
      </c>
      <c r="E2391" t="inlineStr">
        <is>
          <t>ORSA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20853-2020</t>
        </is>
      </c>
      <c r="B2392" s="1" t="n">
        <v>43948</v>
      </c>
      <c r="C2392" s="1" t="n">
        <v>45210</v>
      </c>
      <c r="D2392" t="inlineStr">
        <is>
          <t>DALARNAS LÄN</t>
        </is>
      </c>
      <c r="E2392" t="inlineStr">
        <is>
          <t>RÄTTVIK</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20491-2020</t>
        </is>
      </c>
      <c r="B2393" s="1" t="n">
        <v>43948</v>
      </c>
      <c r="C2393" s="1" t="n">
        <v>45210</v>
      </c>
      <c r="D2393" t="inlineStr">
        <is>
          <t>DALARNAS LÄN</t>
        </is>
      </c>
      <c r="E2393" t="inlineStr">
        <is>
          <t>SÄTER</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20646-2020</t>
        </is>
      </c>
      <c r="B2394" s="1" t="n">
        <v>43949</v>
      </c>
      <c r="C2394" s="1" t="n">
        <v>45210</v>
      </c>
      <c r="D2394" t="inlineStr">
        <is>
          <t>DALARNAS LÄN</t>
        </is>
      </c>
      <c r="E2394" t="inlineStr">
        <is>
          <t>RÄTTVIK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20653-2020</t>
        </is>
      </c>
      <c r="B2395" s="1" t="n">
        <v>43949</v>
      </c>
      <c r="C2395" s="1" t="n">
        <v>45210</v>
      </c>
      <c r="D2395" t="inlineStr">
        <is>
          <t>DALARNAS LÄN</t>
        </is>
      </c>
      <c r="E2395" t="inlineStr">
        <is>
          <t>RÄTTVIK</t>
        </is>
      </c>
      <c r="F2395" t="inlineStr">
        <is>
          <t>Sveaskog</t>
        </is>
      </c>
      <c r="G2395" t="n">
        <v>6</v>
      </c>
      <c r="H2395" t="n">
        <v>0</v>
      </c>
      <c r="I2395" t="n">
        <v>0</v>
      </c>
      <c r="J2395" t="n">
        <v>0</v>
      </c>
      <c r="K2395" t="n">
        <v>0</v>
      </c>
      <c r="L2395" t="n">
        <v>0</v>
      </c>
      <c r="M2395" t="n">
        <v>0</v>
      </c>
      <c r="N2395" t="n">
        <v>0</v>
      </c>
      <c r="O2395" t="n">
        <v>0</v>
      </c>
      <c r="P2395" t="n">
        <v>0</v>
      </c>
      <c r="Q2395" t="n">
        <v>0</v>
      </c>
      <c r="R2395" s="2" t="inlineStr"/>
    </row>
    <row r="2396" ht="15" customHeight="1">
      <c r="A2396" t="inlineStr">
        <is>
          <t>A 20716-2020</t>
        </is>
      </c>
      <c r="B2396" s="1" t="n">
        <v>43949</v>
      </c>
      <c r="C2396" s="1" t="n">
        <v>45210</v>
      </c>
      <c r="D2396" t="inlineStr">
        <is>
          <t>DALARNAS LÄN</t>
        </is>
      </c>
      <c r="E2396" t="inlineStr">
        <is>
          <t>VANSBRO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20645-2020</t>
        </is>
      </c>
      <c r="B2397" s="1" t="n">
        <v>43949</v>
      </c>
      <c r="C2397" s="1" t="n">
        <v>45210</v>
      </c>
      <c r="D2397" t="inlineStr">
        <is>
          <t>DALARNAS LÄN</t>
        </is>
      </c>
      <c r="E2397" t="inlineStr">
        <is>
          <t>RÄTTVIK</t>
        </is>
      </c>
      <c r="F2397" t="inlineStr">
        <is>
          <t>Sveaskog</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20655-2020</t>
        </is>
      </c>
      <c r="B2398" s="1" t="n">
        <v>43949</v>
      </c>
      <c r="C2398" s="1" t="n">
        <v>45210</v>
      </c>
      <c r="D2398" t="inlineStr">
        <is>
          <t>DALARNAS LÄN</t>
        </is>
      </c>
      <c r="E2398" t="inlineStr">
        <is>
          <t>RÄTTVIK</t>
        </is>
      </c>
      <c r="F2398" t="inlineStr">
        <is>
          <t>Sveaskog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20725-2020</t>
        </is>
      </c>
      <c r="B2399" s="1" t="n">
        <v>43949</v>
      </c>
      <c r="C2399" s="1" t="n">
        <v>45210</v>
      </c>
      <c r="D2399" t="inlineStr">
        <is>
          <t>DALARNAS LÄN</t>
        </is>
      </c>
      <c r="E2399" t="inlineStr">
        <is>
          <t>LUDVIKA</t>
        </is>
      </c>
      <c r="F2399" t="inlineStr">
        <is>
          <t>Bergvik skog väst AB</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20804-2020</t>
        </is>
      </c>
      <c r="B2400" s="1" t="n">
        <v>43949</v>
      </c>
      <c r="C2400" s="1" t="n">
        <v>45210</v>
      </c>
      <c r="D2400" t="inlineStr">
        <is>
          <t>DALARNAS LÄN</t>
        </is>
      </c>
      <c r="E2400" t="inlineStr">
        <is>
          <t>HEDEMORA</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20955-2020</t>
        </is>
      </c>
      <c r="B2401" s="1" t="n">
        <v>43950</v>
      </c>
      <c r="C2401" s="1" t="n">
        <v>45210</v>
      </c>
      <c r="D2401" t="inlineStr">
        <is>
          <t>DALARNAS LÄN</t>
        </is>
      </c>
      <c r="E2401" t="inlineStr">
        <is>
          <t>AVESTA</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20982-2020</t>
        </is>
      </c>
      <c r="B2402" s="1" t="n">
        <v>43950</v>
      </c>
      <c r="C2402" s="1" t="n">
        <v>45210</v>
      </c>
      <c r="D2402" t="inlineStr">
        <is>
          <t>DALARNAS LÄN</t>
        </is>
      </c>
      <c r="E2402" t="inlineStr">
        <is>
          <t>VANSBRO</t>
        </is>
      </c>
      <c r="F2402" t="inlineStr">
        <is>
          <t>Bergvik skog väst AB</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21376-2020</t>
        </is>
      </c>
      <c r="B2403" s="1" t="n">
        <v>43950</v>
      </c>
      <c r="C2403" s="1" t="n">
        <v>45210</v>
      </c>
      <c r="D2403" t="inlineStr">
        <is>
          <t>DALARNAS LÄN</t>
        </is>
      </c>
      <c r="E2403" t="inlineStr">
        <is>
          <t>RÄTTVIK</t>
        </is>
      </c>
      <c r="G2403" t="n">
        <v>12.2</v>
      </c>
      <c r="H2403" t="n">
        <v>0</v>
      </c>
      <c r="I2403" t="n">
        <v>0</v>
      </c>
      <c r="J2403" t="n">
        <v>0</v>
      </c>
      <c r="K2403" t="n">
        <v>0</v>
      </c>
      <c r="L2403" t="n">
        <v>0</v>
      </c>
      <c r="M2403" t="n">
        <v>0</v>
      </c>
      <c r="N2403" t="n">
        <v>0</v>
      </c>
      <c r="O2403" t="n">
        <v>0</v>
      </c>
      <c r="P2403" t="n">
        <v>0</v>
      </c>
      <c r="Q2403" t="n">
        <v>0</v>
      </c>
      <c r="R2403" s="2" t="inlineStr"/>
    </row>
    <row r="2404" ht="15" customHeight="1">
      <c r="A2404" t="inlineStr">
        <is>
          <t>A 21122-2020</t>
        </is>
      </c>
      <c r="B2404" s="1" t="n">
        <v>43951</v>
      </c>
      <c r="C2404" s="1" t="n">
        <v>45210</v>
      </c>
      <c r="D2404" t="inlineStr">
        <is>
          <t>DALARNAS LÄN</t>
        </is>
      </c>
      <c r="E2404" t="inlineStr">
        <is>
          <t>MORA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21155-2020</t>
        </is>
      </c>
      <c r="B2405" s="1" t="n">
        <v>43951</v>
      </c>
      <c r="C2405" s="1" t="n">
        <v>45210</v>
      </c>
      <c r="D2405" t="inlineStr">
        <is>
          <t>DALARNAS LÄN</t>
        </is>
      </c>
      <c r="E2405" t="inlineStr">
        <is>
          <t>RÄTTVIK</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21057-2020</t>
        </is>
      </c>
      <c r="B2406" s="1" t="n">
        <v>43951</v>
      </c>
      <c r="C2406" s="1" t="n">
        <v>45210</v>
      </c>
      <c r="D2406" t="inlineStr">
        <is>
          <t>DALARNAS LÄN</t>
        </is>
      </c>
      <c r="E2406" t="inlineStr">
        <is>
          <t>ORSA</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21120-2020</t>
        </is>
      </c>
      <c r="B2407" s="1" t="n">
        <v>43951</v>
      </c>
      <c r="C2407" s="1" t="n">
        <v>45210</v>
      </c>
      <c r="D2407" t="inlineStr">
        <is>
          <t>DALARNAS LÄN</t>
        </is>
      </c>
      <c r="E2407" t="inlineStr">
        <is>
          <t>ÄLVDALEN</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21141-2020</t>
        </is>
      </c>
      <c r="B2408" s="1" t="n">
        <v>43951</v>
      </c>
      <c r="C2408" s="1" t="n">
        <v>45210</v>
      </c>
      <c r="D2408" t="inlineStr">
        <is>
          <t>DALARNAS LÄN</t>
        </is>
      </c>
      <c r="E2408" t="inlineStr">
        <is>
          <t>LEKSAND</t>
        </is>
      </c>
      <c r="F2408" t="inlineStr">
        <is>
          <t>Bergvik skog väst AB</t>
        </is>
      </c>
      <c r="G2408" t="n">
        <v>9.699999999999999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21128-2020</t>
        </is>
      </c>
      <c r="B2409" s="1" t="n">
        <v>43951</v>
      </c>
      <c r="C2409" s="1" t="n">
        <v>45210</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21252-2020</t>
        </is>
      </c>
      <c r="B2410" s="1" t="n">
        <v>43955</v>
      </c>
      <c r="C2410" s="1" t="n">
        <v>45210</v>
      </c>
      <c r="D2410" t="inlineStr">
        <is>
          <t>DALARNAS LÄN</t>
        </is>
      </c>
      <c r="E2410" t="inlineStr">
        <is>
          <t>HEDEMORA</t>
        </is>
      </c>
      <c r="F2410" t="inlineStr">
        <is>
          <t>Sveaskog</t>
        </is>
      </c>
      <c r="G2410" t="n">
        <v>4.8</v>
      </c>
      <c r="H2410" t="n">
        <v>0</v>
      </c>
      <c r="I2410" t="n">
        <v>0</v>
      </c>
      <c r="J2410" t="n">
        <v>0</v>
      </c>
      <c r="K2410" t="n">
        <v>0</v>
      </c>
      <c r="L2410" t="n">
        <v>0</v>
      </c>
      <c r="M2410" t="n">
        <v>0</v>
      </c>
      <c r="N2410" t="n">
        <v>0</v>
      </c>
      <c r="O2410" t="n">
        <v>0</v>
      </c>
      <c r="P2410" t="n">
        <v>0</v>
      </c>
      <c r="Q2410" t="n">
        <v>0</v>
      </c>
      <c r="R2410" s="2" t="inlineStr"/>
    </row>
    <row r="2411" ht="15" customHeight="1">
      <c r="A2411" t="inlineStr">
        <is>
          <t>A 21319-2020</t>
        </is>
      </c>
      <c r="B2411" s="1" t="n">
        <v>43955</v>
      </c>
      <c r="C2411" s="1" t="n">
        <v>45210</v>
      </c>
      <c r="D2411" t="inlineStr">
        <is>
          <t>DALARNAS LÄN</t>
        </is>
      </c>
      <c r="E2411" t="inlineStr">
        <is>
          <t>GAGNEF</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21254-2020</t>
        </is>
      </c>
      <c r="B2412" s="1" t="n">
        <v>43955</v>
      </c>
      <c r="C2412" s="1" t="n">
        <v>45210</v>
      </c>
      <c r="D2412" t="inlineStr">
        <is>
          <t>DALARNAS LÄN</t>
        </is>
      </c>
      <c r="E2412" t="inlineStr">
        <is>
          <t>HEDEMORA</t>
        </is>
      </c>
      <c r="F2412" t="inlineStr">
        <is>
          <t>Sveaskog</t>
        </is>
      </c>
      <c r="G2412" t="n">
        <v>8.4</v>
      </c>
      <c r="H2412" t="n">
        <v>0</v>
      </c>
      <c r="I2412" t="n">
        <v>0</v>
      </c>
      <c r="J2412" t="n">
        <v>0</v>
      </c>
      <c r="K2412" t="n">
        <v>0</v>
      </c>
      <c r="L2412" t="n">
        <v>0</v>
      </c>
      <c r="M2412" t="n">
        <v>0</v>
      </c>
      <c r="N2412" t="n">
        <v>0</v>
      </c>
      <c r="O2412" t="n">
        <v>0</v>
      </c>
      <c r="P2412" t="n">
        <v>0</v>
      </c>
      <c r="Q2412" t="n">
        <v>0</v>
      </c>
      <c r="R2412" s="2" t="inlineStr"/>
    </row>
    <row r="2413" ht="15" customHeight="1">
      <c r="A2413" t="inlineStr">
        <is>
          <t>A 21367-2020</t>
        </is>
      </c>
      <c r="B2413" s="1" t="n">
        <v>43955</v>
      </c>
      <c r="C2413" s="1" t="n">
        <v>45210</v>
      </c>
      <c r="D2413" t="inlineStr">
        <is>
          <t>DALARNAS LÄN</t>
        </is>
      </c>
      <c r="E2413" t="inlineStr">
        <is>
          <t>ÄLVDALEN</t>
        </is>
      </c>
      <c r="G2413" t="n">
        <v>4</v>
      </c>
      <c r="H2413" t="n">
        <v>0</v>
      </c>
      <c r="I2413" t="n">
        <v>0</v>
      </c>
      <c r="J2413" t="n">
        <v>0</v>
      </c>
      <c r="K2413" t="n">
        <v>0</v>
      </c>
      <c r="L2413" t="n">
        <v>0</v>
      </c>
      <c r="M2413" t="n">
        <v>0</v>
      </c>
      <c r="N2413" t="n">
        <v>0</v>
      </c>
      <c r="O2413" t="n">
        <v>0</v>
      </c>
      <c r="P2413" t="n">
        <v>0</v>
      </c>
      <c r="Q2413" t="n">
        <v>0</v>
      </c>
      <c r="R2413" s="2" t="inlineStr"/>
    </row>
    <row r="2414" ht="15" customHeight="1">
      <c r="A2414" t="inlineStr">
        <is>
          <t>A 21927-2020</t>
        </is>
      </c>
      <c r="B2414" s="1" t="n">
        <v>43955</v>
      </c>
      <c r="C2414" s="1" t="n">
        <v>45210</v>
      </c>
      <c r="D2414" t="inlineStr">
        <is>
          <t>DALARNAS LÄN</t>
        </is>
      </c>
      <c r="E2414" t="inlineStr">
        <is>
          <t>ÄLVDALEN</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21458-2020</t>
        </is>
      </c>
      <c r="B2415" s="1" t="n">
        <v>43956</v>
      </c>
      <c r="C2415" s="1" t="n">
        <v>45210</v>
      </c>
      <c r="D2415" t="inlineStr">
        <is>
          <t>DALARNAS LÄN</t>
        </is>
      </c>
      <c r="E2415" t="inlineStr">
        <is>
          <t>HEDEMORA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21454-2020</t>
        </is>
      </c>
      <c r="B2416" s="1" t="n">
        <v>43956</v>
      </c>
      <c r="C2416" s="1" t="n">
        <v>45210</v>
      </c>
      <c r="D2416" t="inlineStr">
        <is>
          <t>DALARNAS LÄN</t>
        </is>
      </c>
      <c r="E2416" t="inlineStr">
        <is>
          <t>AVESTA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21551-2020</t>
        </is>
      </c>
      <c r="B2417" s="1" t="n">
        <v>43956</v>
      </c>
      <c r="C2417" s="1" t="n">
        <v>45210</v>
      </c>
      <c r="D2417" t="inlineStr">
        <is>
          <t>DALARNAS LÄN</t>
        </is>
      </c>
      <c r="E2417" t="inlineStr">
        <is>
          <t>VANSBRO</t>
        </is>
      </c>
      <c r="F2417" t="inlineStr">
        <is>
          <t>Bergvik skog väst AB</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21455-2020</t>
        </is>
      </c>
      <c r="B2418" s="1" t="n">
        <v>43956</v>
      </c>
      <c r="C2418" s="1" t="n">
        <v>45210</v>
      </c>
      <c r="D2418" t="inlineStr">
        <is>
          <t>DALARNAS LÄN</t>
        </is>
      </c>
      <c r="E2418" t="inlineStr">
        <is>
          <t>AVESTA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21654-2020</t>
        </is>
      </c>
      <c r="B2419" s="1" t="n">
        <v>43957</v>
      </c>
      <c r="C2419" s="1" t="n">
        <v>45210</v>
      </c>
      <c r="D2419" t="inlineStr">
        <is>
          <t>DALARNAS LÄN</t>
        </is>
      </c>
      <c r="E2419" t="inlineStr">
        <is>
          <t>AVESTA</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21630-2020</t>
        </is>
      </c>
      <c r="B2420" s="1" t="n">
        <v>43957</v>
      </c>
      <c r="C2420" s="1" t="n">
        <v>45210</v>
      </c>
      <c r="D2420" t="inlineStr">
        <is>
          <t>DALARNAS LÄN</t>
        </is>
      </c>
      <c r="E2420" t="inlineStr">
        <is>
          <t>SÄTER</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21684-2020</t>
        </is>
      </c>
      <c r="B2421" s="1" t="n">
        <v>43957</v>
      </c>
      <c r="C2421" s="1" t="n">
        <v>45210</v>
      </c>
      <c r="D2421" t="inlineStr">
        <is>
          <t>DALARNAS LÄN</t>
        </is>
      </c>
      <c r="E2421" t="inlineStr">
        <is>
          <t>BORLÄNGE</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21951-2020</t>
        </is>
      </c>
      <c r="B2422" s="1" t="n">
        <v>43958</v>
      </c>
      <c r="C2422" s="1" t="n">
        <v>45210</v>
      </c>
      <c r="D2422" t="inlineStr">
        <is>
          <t>DALARNAS LÄN</t>
        </is>
      </c>
      <c r="E2422" t="inlineStr">
        <is>
          <t>MORA</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22052-2020</t>
        </is>
      </c>
      <c r="B2423" s="1" t="n">
        <v>43959</v>
      </c>
      <c r="C2423" s="1" t="n">
        <v>45210</v>
      </c>
      <c r="D2423" t="inlineStr">
        <is>
          <t>DALARNAS LÄN</t>
        </is>
      </c>
      <c r="E2423" t="inlineStr">
        <is>
          <t>RÄTTVIK</t>
        </is>
      </c>
      <c r="F2423" t="inlineStr">
        <is>
          <t>Sveaskog</t>
        </is>
      </c>
      <c r="G2423" t="n">
        <v>9.199999999999999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22517-2020</t>
        </is>
      </c>
      <c r="B2424" s="1" t="n">
        <v>43959</v>
      </c>
      <c r="C2424" s="1" t="n">
        <v>45210</v>
      </c>
      <c r="D2424" t="inlineStr">
        <is>
          <t>DALARNAS LÄN</t>
        </is>
      </c>
      <c r="E2424" t="inlineStr">
        <is>
          <t>RÄTTVIK</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22053-2020</t>
        </is>
      </c>
      <c r="B2425" s="1" t="n">
        <v>43959</v>
      </c>
      <c r="C2425" s="1" t="n">
        <v>45210</v>
      </c>
      <c r="D2425" t="inlineStr">
        <is>
          <t>DALARNAS LÄN</t>
        </is>
      </c>
      <c r="E2425" t="inlineStr">
        <is>
          <t>RÄTTVIK</t>
        </is>
      </c>
      <c r="F2425" t="inlineStr">
        <is>
          <t>Sveaskog</t>
        </is>
      </c>
      <c r="G2425" t="n">
        <v>5.3</v>
      </c>
      <c r="H2425" t="n">
        <v>0</v>
      </c>
      <c r="I2425" t="n">
        <v>0</v>
      </c>
      <c r="J2425" t="n">
        <v>0</v>
      </c>
      <c r="K2425" t="n">
        <v>0</v>
      </c>
      <c r="L2425" t="n">
        <v>0</v>
      </c>
      <c r="M2425" t="n">
        <v>0</v>
      </c>
      <c r="N2425" t="n">
        <v>0</v>
      </c>
      <c r="O2425" t="n">
        <v>0</v>
      </c>
      <c r="P2425" t="n">
        <v>0</v>
      </c>
      <c r="Q2425" t="n">
        <v>0</v>
      </c>
      <c r="R2425" s="2" t="inlineStr"/>
    </row>
    <row r="2426" ht="15" customHeight="1">
      <c r="A2426" t="inlineStr">
        <is>
          <t>A 22054-2020</t>
        </is>
      </c>
      <c r="B2426" s="1" t="n">
        <v>43959</v>
      </c>
      <c r="C2426" s="1" t="n">
        <v>45210</v>
      </c>
      <c r="D2426" t="inlineStr">
        <is>
          <t>DALARNAS LÄN</t>
        </is>
      </c>
      <c r="E2426" t="inlineStr">
        <is>
          <t>RÄTTVIK</t>
        </is>
      </c>
      <c r="F2426" t="inlineStr">
        <is>
          <t>Sveaskog</t>
        </is>
      </c>
      <c r="G2426" t="n">
        <v>23.3</v>
      </c>
      <c r="H2426" t="n">
        <v>0</v>
      </c>
      <c r="I2426" t="n">
        <v>0</v>
      </c>
      <c r="J2426" t="n">
        <v>0</v>
      </c>
      <c r="K2426" t="n">
        <v>0</v>
      </c>
      <c r="L2426" t="n">
        <v>0</v>
      </c>
      <c r="M2426" t="n">
        <v>0</v>
      </c>
      <c r="N2426" t="n">
        <v>0</v>
      </c>
      <c r="O2426" t="n">
        <v>0</v>
      </c>
      <c r="P2426" t="n">
        <v>0</v>
      </c>
      <c r="Q2426" t="n">
        <v>0</v>
      </c>
      <c r="R2426" s="2" t="inlineStr"/>
    </row>
    <row r="2427" ht="15" customHeight="1">
      <c r="A2427" t="inlineStr">
        <is>
          <t>A 22374-2020</t>
        </is>
      </c>
      <c r="B2427" s="1" t="n">
        <v>43962</v>
      </c>
      <c r="C2427" s="1" t="n">
        <v>45210</v>
      </c>
      <c r="D2427" t="inlineStr">
        <is>
          <t>DALARNAS LÄN</t>
        </is>
      </c>
      <c r="E2427" t="inlineStr">
        <is>
          <t>HEDEMORA</t>
        </is>
      </c>
      <c r="F2427" t="inlineStr">
        <is>
          <t>Kommuner</t>
        </is>
      </c>
      <c r="G2427" t="n">
        <v>9.1</v>
      </c>
      <c r="H2427" t="n">
        <v>0</v>
      </c>
      <c r="I2427" t="n">
        <v>0</v>
      </c>
      <c r="J2427" t="n">
        <v>0</v>
      </c>
      <c r="K2427" t="n">
        <v>0</v>
      </c>
      <c r="L2427" t="n">
        <v>0</v>
      </c>
      <c r="M2427" t="n">
        <v>0</v>
      </c>
      <c r="N2427" t="n">
        <v>0</v>
      </c>
      <c r="O2427" t="n">
        <v>0</v>
      </c>
      <c r="P2427" t="n">
        <v>0</v>
      </c>
      <c r="Q2427" t="n">
        <v>0</v>
      </c>
      <c r="R2427" s="2" t="inlineStr"/>
    </row>
    <row r="2428" ht="15" customHeight="1">
      <c r="A2428" t="inlineStr">
        <is>
          <t>A 22254-2020</t>
        </is>
      </c>
      <c r="B2428" s="1" t="n">
        <v>43962</v>
      </c>
      <c r="C2428" s="1" t="n">
        <v>45210</v>
      </c>
      <c r="D2428" t="inlineStr">
        <is>
          <t>DALARNAS LÄN</t>
        </is>
      </c>
      <c r="E2428" t="inlineStr">
        <is>
          <t>VANSBRO</t>
        </is>
      </c>
      <c r="F2428" t="inlineStr">
        <is>
          <t>Bergvik skog väst AB</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22718-2020</t>
        </is>
      </c>
      <c r="B2429" s="1" t="n">
        <v>43964</v>
      </c>
      <c r="C2429" s="1" t="n">
        <v>45210</v>
      </c>
      <c r="D2429" t="inlineStr">
        <is>
          <t>DALARNAS LÄN</t>
        </is>
      </c>
      <c r="E2429" t="inlineStr">
        <is>
          <t>LEKSAND</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22785-2020</t>
        </is>
      </c>
      <c r="B2430" s="1" t="n">
        <v>43964</v>
      </c>
      <c r="C2430" s="1" t="n">
        <v>45210</v>
      </c>
      <c r="D2430" t="inlineStr">
        <is>
          <t>DALARNAS LÄN</t>
        </is>
      </c>
      <c r="E2430" t="inlineStr">
        <is>
          <t>ORSA</t>
        </is>
      </c>
      <c r="F2430" t="inlineStr">
        <is>
          <t>Bergvik skog öst AB</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23086-2020</t>
        </is>
      </c>
      <c r="B2431" s="1" t="n">
        <v>43965</v>
      </c>
      <c r="C2431" s="1" t="n">
        <v>45210</v>
      </c>
      <c r="D2431" t="inlineStr">
        <is>
          <t>DALARNAS LÄN</t>
        </is>
      </c>
      <c r="E2431" t="inlineStr">
        <is>
          <t>LUDVIKA</t>
        </is>
      </c>
      <c r="F2431" t="inlineStr">
        <is>
          <t>Bergvik skog väst AB</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23079-2020</t>
        </is>
      </c>
      <c r="B2432" s="1" t="n">
        <v>43965</v>
      </c>
      <c r="C2432" s="1" t="n">
        <v>45210</v>
      </c>
      <c r="D2432" t="inlineStr">
        <is>
          <t>DALARNAS LÄN</t>
        </is>
      </c>
      <c r="E2432" t="inlineStr">
        <is>
          <t>LUDVIKA</t>
        </is>
      </c>
      <c r="F2432" t="inlineStr">
        <is>
          <t>Bergvik skog väst AB</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23198-2020</t>
        </is>
      </c>
      <c r="B2433" s="1" t="n">
        <v>43966</v>
      </c>
      <c r="C2433" s="1" t="n">
        <v>45210</v>
      </c>
      <c r="D2433" t="inlineStr">
        <is>
          <t>DALARNAS LÄN</t>
        </is>
      </c>
      <c r="E2433" t="inlineStr">
        <is>
          <t>VANSBRO</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23270-2020</t>
        </is>
      </c>
      <c r="B2434" s="1" t="n">
        <v>43966</v>
      </c>
      <c r="C2434" s="1" t="n">
        <v>45210</v>
      </c>
      <c r="D2434" t="inlineStr">
        <is>
          <t>DALARNAS LÄN</t>
        </is>
      </c>
      <c r="E2434" t="inlineStr">
        <is>
          <t>FALUN</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23390-2020</t>
        </is>
      </c>
      <c r="B2435" s="1" t="n">
        <v>43968</v>
      </c>
      <c r="C2435" s="1" t="n">
        <v>45210</v>
      </c>
      <c r="D2435" t="inlineStr">
        <is>
          <t>DALARNAS LÄN</t>
        </is>
      </c>
      <c r="E2435" t="inlineStr">
        <is>
          <t>GAGNEF</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23402-2020</t>
        </is>
      </c>
      <c r="B2436" s="1" t="n">
        <v>43968</v>
      </c>
      <c r="C2436" s="1" t="n">
        <v>45210</v>
      </c>
      <c r="D2436" t="inlineStr">
        <is>
          <t>DALARNAS LÄN</t>
        </is>
      </c>
      <c r="E2436" t="inlineStr">
        <is>
          <t>HEDEMORA</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23401-2020</t>
        </is>
      </c>
      <c r="B2437" s="1" t="n">
        <v>43968</v>
      </c>
      <c r="C2437" s="1" t="n">
        <v>45210</v>
      </c>
      <c r="D2437" t="inlineStr">
        <is>
          <t>DALARNAS LÄN</t>
        </is>
      </c>
      <c r="E2437" t="inlineStr">
        <is>
          <t>HEDEMORA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23452-2020</t>
        </is>
      </c>
      <c r="B2438" s="1" t="n">
        <v>43969</v>
      </c>
      <c r="C2438" s="1" t="n">
        <v>45210</v>
      </c>
      <c r="D2438" t="inlineStr">
        <is>
          <t>DALARNAS LÄN</t>
        </is>
      </c>
      <c r="E2438" t="inlineStr">
        <is>
          <t>LUDVIKA</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23521-2020</t>
        </is>
      </c>
      <c r="B2439" s="1" t="n">
        <v>43969</v>
      </c>
      <c r="C2439" s="1" t="n">
        <v>45210</v>
      </c>
      <c r="D2439" t="inlineStr">
        <is>
          <t>DALARNAS LÄN</t>
        </is>
      </c>
      <c r="E2439" t="inlineStr">
        <is>
          <t>FALUN</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23448-2020</t>
        </is>
      </c>
      <c r="B2440" s="1" t="n">
        <v>43969</v>
      </c>
      <c r="C2440" s="1" t="n">
        <v>45210</v>
      </c>
      <c r="D2440" t="inlineStr">
        <is>
          <t>DALARNAS LÄN</t>
        </is>
      </c>
      <c r="E2440" t="inlineStr">
        <is>
          <t>ÄLVDALEN</t>
        </is>
      </c>
      <c r="F2440" t="inlineStr">
        <is>
          <t>Sveaskog</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23576-2020</t>
        </is>
      </c>
      <c r="B2441" s="1" t="n">
        <v>43969</v>
      </c>
      <c r="C2441" s="1" t="n">
        <v>45210</v>
      </c>
      <c r="D2441" t="inlineStr">
        <is>
          <t>DALARNAS LÄN</t>
        </is>
      </c>
      <c r="E2441" t="inlineStr">
        <is>
          <t>VANSBRO</t>
        </is>
      </c>
      <c r="F2441" t="inlineStr">
        <is>
          <t>Bergvik skog väst AB</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23600-2020</t>
        </is>
      </c>
      <c r="B2442" s="1" t="n">
        <v>43969</v>
      </c>
      <c r="C2442" s="1" t="n">
        <v>45210</v>
      </c>
      <c r="D2442" t="inlineStr">
        <is>
          <t>DALARNAS LÄN</t>
        </is>
      </c>
      <c r="E2442" t="inlineStr">
        <is>
          <t>RÄTTVIK</t>
        </is>
      </c>
      <c r="F2442" t="inlineStr">
        <is>
          <t>Bergvik skog väst AB</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23465-2020</t>
        </is>
      </c>
      <c r="B2443" s="1" t="n">
        <v>43969</v>
      </c>
      <c r="C2443" s="1" t="n">
        <v>45210</v>
      </c>
      <c r="D2443" t="inlineStr">
        <is>
          <t>DALARNAS LÄN</t>
        </is>
      </c>
      <c r="E2443" t="inlineStr">
        <is>
          <t>FALUN</t>
        </is>
      </c>
      <c r="F2443" t="inlineStr">
        <is>
          <t>Bergvik skog väst AB</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23480-2020</t>
        </is>
      </c>
      <c r="B2444" s="1" t="n">
        <v>43969</v>
      </c>
      <c r="C2444" s="1" t="n">
        <v>45210</v>
      </c>
      <c r="D2444" t="inlineStr">
        <is>
          <t>DALARNAS LÄN</t>
        </is>
      </c>
      <c r="E2444" t="inlineStr">
        <is>
          <t>VANSBRO</t>
        </is>
      </c>
      <c r="F2444" t="inlineStr">
        <is>
          <t>Bergvik skog väst AB</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23766-2020</t>
        </is>
      </c>
      <c r="B2445" s="1" t="n">
        <v>43970</v>
      </c>
      <c r="C2445" s="1" t="n">
        <v>45210</v>
      </c>
      <c r="D2445" t="inlineStr">
        <is>
          <t>DALARNAS LÄN</t>
        </is>
      </c>
      <c r="E2445" t="inlineStr">
        <is>
          <t>ORSA</t>
        </is>
      </c>
      <c r="F2445" t="inlineStr">
        <is>
          <t>Bergvik skog öst AB</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23746-2020</t>
        </is>
      </c>
      <c r="B2446" s="1" t="n">
        <v>43970</v>
      </c>
      <c r="C2446" s="1" t="n">
        <v>45210</v>
      </c>
      <c r="D2446" t="inlineStr">
        <is>
          <t>DALARNAS LÄN</t>
        </is>
      </c>
      <c r="E2446" t="inlineStr">
        <is>
          <t>ORSA</t>
        </is>
      </c>
      <c r="F2446" t="inlineStr">
        <is>
          <t>Allmännings- och besparingsskogar</t>
        </is>
      </c>
      <c r="G2446" t="n">
        <v>13.9</v>
      </c>
      <c r="H2446" t="n">
        <v>0</v>
      </c>
      <c r="I2446" t="n">
        <v>0</v>
      </c>
      <c r="J2446" t="n">
        <v>0</v>
      </c>
      <c r="K2446" t="n">
        <v>0</v>
      </c>
      <c r="L2446" t="n">
        <v>0</v>
      </c>
      <c r="M2446" t="n">
        <v>0</v>
      </c>
      <c r="N2446" t="n">
        <v>0</v>
      </c>
      <c r="O2446" t="n">
        <v>0</v>
      </c>
      <c r="P2446" t="n">
        <v>0</v>
      </c>
      <c r="Q2446" t="n">
        <v>0</v>
      </c>
      <c r="R2446" s="2" t="inlineStr"/>
    </row>
    <row r="2447" ht="15" customHeight="1">
      <c r="A2447" t="inlineStr">
        <is>
          <t>A 23815-2020</t>
        </is>
      </c>
      <c r="B2447" s="1" t="n">
        <v>43970</v>
      </c>
      <c r="C2447" s="1" t="n">
        <v>45210</v>
      </c>
      <c r="D2447" t="inlineStr">
        <is>
          <t>DALARNAS LÄN</t>
        </is>
      </c>
      <c r="E2447" t="inlineStr">
        <is>
          <t>MALUNG-SÄLEN</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23770-2020</t>
        </is>
      </c>
      <c r="B2448" s="1" t="n">
        <v>43970</v>
      </c>
      <c r="C2448" s="1" t="n">
        <v>45210</v>
      </c>
      <c r="D2448" t="inlineStr">
        <is>
          <t>DALARNAS LÄN</t>
        </is>
      </c>
      <c r="E2448" t="inlineStr">
        <is>
          <t>RÄTTVIK</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23876-2020</t>
        </is>
      </c>
      <c r="B2449" s="1" t="n">
        <v>43971</v>
      </c>
      <c r="C2449" s="1" t="n">
        <v>45210</v>
      </c>
      <c r="D2449" t="inlineStr">
        <is>
          <t>DALARNAS LÄN</t>
        </is>
      </c>
      <c r="E2449" t="inlineStr">
        <is>
          <t>FALUN</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23998-2020</t>
        </is>
      </c>
      <c r="B2450" s="1" t="n">
        <v>43971</v>
      </c>
      <c r="C2450" s="1" t="n">
        <v>45210</v>
      </c>
      <c r="D2450" t="inlineStr">
        <is>
          <t>DALARNAS LÄN</t>
        </is>
      </c>
      <c r="E2450" t="inlineStr">
        <is>
          <t>BORLÄNGE</t>
        </is>
      </c>
      <c r="F2450" t="inlineStr">
        <is>
          <t>Kommuner</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23872-2020</t>
        </is>
      </c>
      <c r="B2451" s="1" t="n">
        <v>43971</v>
      </c>
      <c r="C2451" s="1" t="n">
        <v>45210</v>
      </c>
      <c r="D2451" t="inlineStr">
        <is>
          <t>DALARNAS LÄN</t>
        </is>
      </c>
      <c r="E2451" t="inlineStr">
        <is>
          <t>HEDEMORA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24087-2020</t>
        </is>
      </c>
      <c r="B2452" s="1" t="n">
        <v>43972</v>
      </c>
      <c r="C2452" s="1" t="n">
        <v>45210</v>
      </c>
      <c r="D2452" t="inlineStr">
        <is>
          <t>DALARNAS LÄN</t>
        </is>
      </c>
      <c r="E2452" t="inlineStr">
        <is>
          <t>AVESTA</t>
        </is>
      </c>
      <c r="F2452" t="inlineStr">
        <is>
          <t>Sveaskog</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24215-2020</t>
        </is>
      </c>
      <c r="B2453" s="1" t="n">
        <v>43973</v>
      </c>
      <c r="C2453" s="1" t="n">
        <v>45210</v>
      </c>
      <c r="D2453" t="inlineStr">
        <is>
          <t>DALARNAS LÄN</t>
        </is>
      </c>
      <c r="E2453" t="inlineStr">
        <is>
          <t>RÄTTVIK</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24207-2020</t>
        </is>
      </c>
      <c r="B2454" s="1" t="n">
        <v>43973</v>
      </c>
      <c r="C2454" s="1" t="n">
        <v>45210</v>
      </c>
      <c r="D2454" t="inlineStr">
        <is>
          <t>DALARNAS LÄN</t>
        </is>
      </c>
      <c r="E2454" t="inlineStr">
        <is>
          <t>LEKSAND</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24298-2020</t>
        </is>
      </c>
      <c r="B2455" s="1" t="n">
        <v>43976</v>
      </c>
      <c r="C2455" s="1" t="n">
        <v>45210</v>
      </c>
      <c r="D2455" t="inlineStr">
        <is>
          <t>DALARNAS LÄN</t>
        </is>
      </c>
      <c r="E2455" t="inlineStr">
        <is>
          <t>SMEDJEBACKEN</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24252-2020</t>
        </is>
      </c>
      <c r="B2456" s="1" t="n">
        <v>43976</v>
      </c>
      <c r="C2456" s="1" t="n">
        <v>45210</v>
      </c>
      <c r="D2456" t="inlineStr">
        <is>
          <t>DALARNAS LÄN</t>
        </is>
      </c>
      <c r="E2456" t="inlineStr">
        <is>
          <t>SÄTER</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24275-2020</t>
        </is>
      </c>
      <c r="B2457" s="1" t="n">
        <v>43976</v>
      </c>
      <c r="C2457" s="1" t="n">
        <v>45210</v>
      </c>
      <c r="D2457" t="inlineStr">
        <is>
          <t>DALARNAS LÄN</t>
        </is>
      </c>
      <c r="E2457" t="inlineStr">
        <is>
          <t>FALUN</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24273-2020</t>
        </is>
      </c>
      <c r="B2458" s="1" t="n">
        <v>43976</v>
      </c>
      <c r="C2458" s="1" t="n">
        <v>45210</v>
      </c>
      <c r="D2458" t="inlineStr">
        <is>
          <t>DALARNAS LÄN</t>
        </is>
      </c>
      <c r="E2458" t="inlineStr">
        <is>
          <t>AVESTA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24522-2020</t>
        </is>
      </c>
      <c r="B2459" s="1" t="n">
        <v>43977</v>
      </c>
      <c r="C2459" s="1" t="n">
        <v>45210</v>
      </c>
      <c r="D2459" t="inlineStr">
        <is>
          <t>DALARNAS LÄN</t>
        </is>
      </c>
      <c r="E2459" t="inlineStr">
        <is>
          <t>FALUN</t>
        </is>
      </c>
      <c r="F2459" t="inlineStr">
        <is>
          <t>Bergvik skog väst AB</t>
        </is>
      </c>
      <c r="G2459" t="n">
        <v>1.7</v>
      </c>
      <c r="H2459" t="n">
        <v>0</v>
      </c>
      <c r="I2459" t="n">
        <v>0</v>
      </c>
      <c r="J2459" t="n">
        <v>0</v>
      </c>
      <c r="K2459" t="n">
        <v>0</v>
      </c>
      <c r="L2459" t="n">
        <v>0</v>
      </c>
      <c r="M2459" t="n">
        <v>0</v>
      </c>
      <c r="N2459" t="n">
        <v>0</v>
      </c>
      <c r="O2459" t="n">
        <v>0</v>
      </c>
      <c r="P2459" t="n">
        <v>0</v>
      </c>
      <c r="Q2459" t="n">
        <v>0</v>
      </c>
      <c r="R2459" s="2" t="inlineStr"/>
    </row>
    <row r="2460" ht="15" customHeight="1">
      <c r="A2460" t="inlineStr">
        <is>
          <t>A 24556-2020</t>
        </is>
      </c>
      <c r="B2460" s="1" t="n">
        <v>43977</v>
      </c>
      <c r="C2460" s="1" t="n">
        <v>45210</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24517-2020</t>
        </is>
      </c>
      <c r="B2461" s="1" t="n">
        <v>43977</v>
      </c>
      <c r="C2461" s="1" t="n">
        <v>45210</v>
      </c>
      <c r="D2461" t="inlineStr">
        <is>
          <t>DALARNAS LÄN</t>
        </is>
      </c>
      <c r="E2461" t="inlineStr">
        <is>
          <t>SMEDJEBACKEN</t>
        </is>
      </c>
      <c r="F2461" t="inlineStr">
        <is>
          <t>Sveaskog</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24719-2020</t>
        </is>
      </c>
      <c r="B2462" s="1" t="n">
        <v>43978</v>
      </c>
      <c r="C2462" s="1" t="n">
        <v>45210</v>
      </c>
      <c r="D2462" t="inlineStr">
        <is>
          <t>DALARNAS LÄN</t>
        </is>
      </c>
      <c r="E2462" t="inlineStr">
        <is>
          <t>MORA</t>
        </is>
      </c>
      <c r="F2462" t="inlineStr">
        <is>
          <t>Allmännings- och besparingsskogar</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24697-2020</t>
        </is>
      </c>
      <c r="B2463" s="1" t="n">
        <v>43978</v>
      </c>
      <c r="C2463" s="1" t="n">
        <v>45210</v>
      </c>
      <c r="D2463" t="inlineStr">
        <is>
          <t>DALARNAS LÄN</t>
        </is>
      </c>
      <c r="E2463" t="inlineStr">
        <is>
          <t>AVESTA</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24800-2020</t>
        </is>
      </c>
      <c r="B2464" s="1" t="n">
        <v>43978</v>
      </c>
      <c r="C2464" s="1" t="n">
        <v>45210</v>
      </c>
      <c r="D2464" t="inlineStr">
        <is>
          <t>DALARNAS LÄN</t>
        </is>
      </c>
      <c r="E2464" t="inlineStr">
        <is>
          <t>LUDVIKA</t>
        </is>
      </c>
      <c r="F2464" t="inlineStr">
        <is>
          <t>Bergvik skog väst AB</t>
        </is>
      </c>
      <c r="G2464" t="n">
        <v>28.1</v>
      </c>
      <c r="H2464" t="n">
        <v>0</v>
      </c>
      <c r="I2464" t="n">
        <v>0</v>
      </c>
      <c r="J2464" t="n">
        <v>0</v>
      </c>
      <c r="K2464" t="n">
        <v>0</v>
      </c>
      <c r="L2464" t="n">
        <v>0</v>
      </c>
      <c r="M2464" t="n">
        <v>0</v>
      </c>
      <c r="N2464" t="n">
        <v>0</v>
      </c>
      <c r="O2464" t="n">
        <v>0</v>
      </c>
      <c r="P2464" t="n">
        <v>0</v>
      </c>
      <c r="Q2464" t="n">
        <v>0</v>
      </c>
      <c r="R2464" s="2" t="inlineStr"/>
    </row>
    <row r="2465" ht="15" customHeight="1">
      <c r="A2465" t="inlineStr">
        <is>
          <t>A 24759-2020</t>
        </is>
      </c>
      <c r="B2465" s="1" t="n">
        <v>43978</v>
      </c>
      <c r="C2465" s="1" t="n">
        <v>45210</v>
      </c>
      <c r="D2465" t="inlineStr">
        <is>
          <t>DALARNAS LÄN</t>
        </is>
      </c>
      <c r="E2465" t="inlineStr">
        <is>
          <t>HEDEMORA</t>
        </is>
      </c>
      <c r="F2465" t="inlineStr">
        <is>
          <t>Sveaskog</t>
        </is>
      </c>
      <c r="G2465" t="n">
        <v>9.699999999999999</v>
      </c>
      <c r="H2465" t="n">
        <v>0</v>
      </c>
      <c r="I2465" t="n">
        <v>0</v>
      </c>
      <c r="J2465" t="n">
        <v>0</v>
      </c>
      <c r="K2465" t="n">
        <v>0</v>
      </c>
      <c r="L2465" t="n">
        <v>0</v>
      </c>
      <c r="M2465" t="n">
        <v>0</v>
      </c>
      <c r="N2465" t="n">
        <v>0</v>
      </c>
      <c r="O2465" t="n">
        <v>0</v>
      </c>
      <c r="P2465" t="n">
        <v>0</v>
      </c>
      <c r="Q2465" t="n">
        <v>0</v>
      </c>
      <c r="R2465" s="2" t="inlineStr"/>
    </row>
    <row r="2466" ht="15" customHeight="1">
      <c r="A2466" t="inlineStr">
        <is>
          <t>A 25156-2020</t>
        </is>
      </c>
      <c r="B2466" s="1" t="n">
        <v>43978</v>
      </c>
      <c r="C2466" s="1" t="n">
        <v>45210</v>
      </c>
      <c r="D2466" t="inlineStr">
        <is>
          <t>DALARNAS LÄN</t>
        </is>
      </c>
      <c r="E2466" t="inlineStr">
        <is>
          <t>LEKSAND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24942-2020</t>
        </is>
      </c>
      <c r="B2467" s="1" t="n">
        <v>43979</v>
      </c>
      <c r="C2467" s="1" t="n">
        <v>45210</v>
      </c>
      <c r="D2467" t="inlineStr">
        <is>
          <t>DALARNAS LÄN</t>
        </is>
      </c>
      <c r="E2467" t="inlineStr">
        <is>
          <t>MALUNG-SÄLEN</t>
        </is>
      </c>
      <c r="F2467" t="inlineStr">
        <is>
          <t>Bergvik skog öst AB</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25036-2020</t>
        </is>
      </c>
      <c r="B2468" s="1" t="n">
        <v>43979</v>
      </c>
      <c r="C2468" s="1" t="n">
        <v>45210</v>
      </c>
      <c r="D2468" t="inlineStr">
        <is>
          <t>DALARNAS LÄN</t>
        </is>
      </c>
      <c r="E2468" t="inlineStr">
        <is>
          <t>FALUN</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25002-2020</t>
        </is>
      </c>
      <c r="B2469" s="1" t="n">
        <v>43979</v>
      </c>
      <c r="C2469" s="1" t="n">
        <v>45210</v>
      </c>
      <c r="D2469" t="inlineStr">
        <is>
          <t>DALARNAS LÄN</t>
        </is>
      </c>
      <c r="E2469" t="inlineStr">
        <is>
          <t>LUDVIKA</t>
        </is>
      </c>
      <c r="F2469" t="inlineStr">
        <is>
          <t>Bergvik skog väst AB</t>
        </is>
      </c>
      <c r="G2469" t="n">
        <v>9.4</v>
      </c>
      <c r="H2469" t="n">
        <v>0</v>
      </c>
      <c r="I2469" t="n">
        <v>0</v>
      </c>
      <c r="J2469" t="n">
        <v>0</v>
      </c>
      <c r="K2469" t="n">
        <v>0</v>
      </c>
      <c r="L2469" t="n">
        <v>0</v>
      </c>
      <c r="M2469" t="n">
        <v>0</v>
      </c>
      <c r="N2469" t="n">
        <v>0</v>
      </c>
      <c r="O2469" t="n">
        <v>0</v>
      </c>
      <c r="P2469" t="n">
        <v>0</v>
      </c>
      <c r="Q2469" t="n">
        <v>0</v>
      </c>
      <c r="R2469" s="2" t="inlineStr"/>
    </row>
    <row r="2470" ht="15" customHeight="1">
      <c r="A2470" t="inlineStr">
        <is>
          <t>A 24911-2020</t>
        </is>
      </c>
      <c r="B2470" s="1" t="n">
        <v>43979</v>
      </c>
      <c r="C2470" s="1" t="n">
        <v>45210</v>
      </c>
      <c r="D2470" t="inlineStr">
        <is>
          <t>DALARNAS LÄN</t>
        </is>
      </c>
      <c r="E2470" t="inlineStr">
        <is>
          <t>SMEDJEBACKEN</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25134-2020</t>
        </is>
      </c>
      <c r="B2471" s="1" t="n">
        <v>43980</v>
      </c>
      <c r="C2471" s="1" t="n">
        <v>45210</v>
      </c>
      <c r="D2471" t="inlineStr">
        <is>
          <t>DALARNAS LÄN</t>
        </is>
      </c>
      <c r="E2471" t="inlineStr">
        <is>
          <t>AVESTA</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25312-2020</t>
        </is>
      </c>
      <c r="B2472" s="1" t="n">
        <v>43980</v>
      </c>
      <c r="C2472" s="1" t="n">
        <v>45210</v>
      </c>
      <c r="D2472" t="inlineStr">
        <is>
          <t>DALARNAS LÄN</t>
        </is>
      </c>
      <c r="E2472" t="inlineStr">
        <is>
          <t>GAGNEF</t>
        </is>
      </c>
      <c r="G2472" t="n">
        <v>11.5</v>
      </c>
      <c r="H2472" t="n">
        <v>0</v>
      </c>
      <c r="I2472" t="n">
        <v>0</v>
      </c>
      <c r="J2472" t="n">
        <v>0</v>
      </c>
      <c r="K2472" t="n">
        <v>0</v>
      </c>
      <c r="L2472" t="n">
        <v>0</v>
      </c>
      <c r="M2472" t="n">
        <v>0</v>
      </c>
      <c r="N2472" t="n">
        <v>0</v>
      </c>
      <c r="O2472" t="n">
        <v>0</v>
      </c>
      <c r="P2472" t="n">
        <v>0</v>
      </c>
      <c r="Q2472" t="n">
        <v>0</v>
      </c>
      <c r="R2472" s="2" t="inlineStr"/>
    </row>
    <row r="2473" ht="15" customHeight="1">
      <c r="A2473" t="inlineStr">
        <is>
          <t>A 25458-2020</t>
        </is>
      </c>
      <c r="B2473" s="1" t="n">
        <v>43983</v>
      </c>
      <c r="C2473" s="1" t="n">
        <v>45210</v>
      </c>
      <c r="D2473" t="inlineStr">
        <is>
          <t>DALARNAS LÄN</t>
        </is>
      </c>
      <c r="E2473" t="inlineStr">
        <is>
          <t>LUDVIKA</t>
        </is>
      </c>
      <c r="F2473" t="inlineStr">
        <is>
          <t>Bergvik skog väst AB</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25623-2020</t>
        </is>
      </c>
      <c r="B2474" s="1" t="n">
        <v>43983</v>
      </c>
      <c r="C2474" s="1" t="n">
        <v>45210</v>
      </c>
      <c r="D2474" t="inlineStr">
        <is>
          <t>DALARNAS LÄN</t>
        </is>
      </c>
      <c r="E2474" t="inlineStr">
        <is>
          <t>HEDEMORA</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25657-2020</t>
        </is>
      </c>
      <c r="B2475" s="1" t="n">
        <v>43983</v>
      </c>
      <c r="C2475" s="1" t="n">
        <v>45210</v>
      </c>
      <c r="D2475" t="inlineStr">
        <is>
          <t>DALARNAS LÄN</t>
        </is>
      </c>
      <c r="E2475" t="inlineStr">
        <is>
          <t>HEDEMORA</t>
        </is>
      </c>
      <c r="G2475" t="n">
        <v>8.199999999999999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25554-2020</t>
        </is>
      </c>
      <c r="B2476" s="1" t="n">
        <v>43983</v>
      </c>
      <c r="C2476" s="1" t="n">
        <v>45210</v>
      </c>
      <c r="D2476" t="inlineStr">
        <is>
          <t>DALARNAS LÄN</t>
        </is>
      </c>
      <c r="E2476" t="inlineStr">
        <is>
          <t>LUDVIKA</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25664-2020</t>
        </is>
      </c>
      <c r="B2477" s="1" t="n">
        <v>43983</v>
      </c>
      <c r="C2477" s="1" t="n">
        <v>45210</v>
      </c>
      <c r="D2477" t="inlineStr">
        <is>
          <t>DALARNAS LÄN</t>
        </is>
      </c>
      <c r="E2477" t="inlineStr">
        <is>
          <t>ORSA</t>
        </is>
      </c>
      <c r="G2477" t="n">
        <v>5.3</v>
      </c>
      <c r="H2477" t="n">
        <v>0</v>
      </c>
      <c r="I2477" t="n">
        <v>0</v>
      </c>
      <c r="J2477" t="n">
        <v>0</v>
      </c>
      <c r="K2477" t="n">
        <v>0</v>
      </c>
      <c r="L2477" t="n">
        <v>0</v>
      </c>
      <c r="M2477" t="n">
        <v>0</v>
      </c>
      <c r="N2477" t="n">
        <v>0</v>
      </c>
      <c r="O2477" t="n">
        <v>0</v>
      </c>
      <c r="P2477" t="n">
        <v>0</v>
      </c>
      <c r="Q2477" t="n">
        <v>0</v>
      </c>
      <c r="R2477" s="2" t="inlineStr"/>
    </row>
    <row r="2478" ht="15" customHeight="1">
      <c r="A2478" t="inlineStr">
        <is>
          <t>A 25450-2020</t>
        </is>
      </c>
      <c r="B2478" s="1" t="n">
        <v>43983</v>
      </c>
      <c r="C2478" s="1" t="n">
        <v>45210</v>
      </c>
      <c r="D2478" t="inlineStr">
        <is>
          <t>DALARNAS LÄN</t>
        </is>
      </c>
      <c r="E2478" t="inlineStr">
        <is>
          <t>LUDVIKA</t>
        </is>
      </c>
      <c r="F2478" t="inlineStr">
        <is>
          <t>Bergvik skog väst AB</t>
        </is>
      </c>
      <c r="G2478" t="n">
        <v>5.8</v>
      </c>
      <c r="H2478" t="n">
        <v>0</v>
      </c>
      <c r="I2478" t="n">
        <v>0</v>
      </c>
      <c r="J2478" t="n">
        <v>0</v>
      </c>
      <c r="K2478" t="n">
        <v>0</v>
      </c>
      <c r="L2478" t="n">
        <v>0</v>
      </c>
      <c r="M2478" t="n">
        <v>0</v>
      </c>
      <c r="N2478" t="n">
        <v>0</v>
      </c>
      <c r="O2478" t="n">
        <v>0</v>
      </c>
      <c r="P2478" t="n">
        <v>0</v>
      </c>
      <c r="Q2478" t="n">
        <v>0</v>
      </c>
      <c r="R2478" s="2" t="inlineStr"/>
    </row>
    <row r="2479" ht="15" customHeight="1">
      <c r="A2479" t="inlineStr">
        <is>
          <t>A 25441-2020</t>
        </is>
      </c>
      <c r="B2479" s="1" t="n">
        <v>43983</v>
      </c>
      <c r="C2479" s="1" t="n">
        <v>45210</v>
      </c>
      <c r="D2479" t="inlineStr">
        <is>
          <t>DALARNAS LÄN</t>
        </is>
      </c>
      <c r="E2479" t="inlineStr">
        <is>
          <t>LUDVIKA</t>
        </is>
      </c>
      <c r="F2479" t="inlineStr">
        <is>
          <t>Bergvik skog väst AB</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25471-2020</t>
        </is>
      </c>
      <c r="B2480" s="1" t="n">
        <v>43983</v>
      </c>
      <c r="C2480" s="1" t="n">
        <v>45210</v>
      </c>
      <c r="D2480" t="inlineStr">
        <is>
          <t>DALARNAS LÄN</t>
        </is>
      </c>
      <c r="E2480" t="inlineStr">
        <is>
          <t>LUDVIKA</t>
        </is>
      </c>
      <c r="F2480" t="inlineStr">
        <is>
          <t>Bergvik skog väst AB</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25878-2020</t>
        </is>
      </c>
      <c r="B2481" s="1" t="n">
        <v>43984</v>
      </c>
      <c r="C2481" s="1" t="n">
        <v>45210</v>
      </c>
      <c r="D2481" t="inlineStr">
        <is>
          <t>DALARNAS LÄN</t>
        </is>
      </c>
      <c r="E2481" t="inlineStr">
        <is>
          <t>SMEDJEBACKEN</t>
        </is>
      </c>
      <c r="F2481" t="inlineStr">
        <is>
          <t>Sveaskog</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25720-2020</t>
        </is>
      </c>
      <c r="B2482" s="1" t="n">
        <v>43984</v>
      </c>
      <c r="C2482" s="1" t="n">
        <v>45210</v>
      </c>
      <c r="D2482" t="inlineStr">
        <is>
          <t>DALARNAS LÄN</t>
        </is>
      </c>
      <c r="E2482" t="inlineStr">
        <is>
          <t>LEKSAND</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25852-2020</t>
        </is>
      </c>
      <c r="B2483" s="1" t="n">
        <v>43984</v>
      </c>
      <c r="C2483" s="1" t="n">
        <v>45210</v>
      </c>
      <c r="D2483" t="inlineStr">
        <is>
          <t>DALARNAS LÄN</t>
        </is>
      </c>
      <c r="E2483" t="inlineStr">
        <is>
          <t>MORA</t>
        </is>
      </c>
      <c r="F2483" t="inlineStr">
        <is>
          <t>Bergvik skog väst AB</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25875-2020</t>
        </is>
      </c>
      <c r="B2484" s="1" t="n">
        <v>43984</v>
      </c>
      <c r="C2484" s="1" t="n">
        <v>45210</v>
      </c>
      <c r="D2484" t="inlineStr">
        <is>
          <t>DALARNAS LÄN</t>
        </is>
      </c>
      <c r="E2484" t="inlineStr">
        <is>
          <t>SMEDJEBACKEN</t>
        </is>
      </c>
      <c r="F2484" t="inlineStr">
        <is>
          <t>Sveaskog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25966-2020</t>
        </is>
      </c>
      <c r="B2485" s="1" t="n">
        <v>43985</v>
      </c>
      <c r="C2485" s="1" t="n">
        <v>45210</v>
      </c>
      <c r="D2485" t="inlineStr">
        <is>
          <t>DALARNAS LÄN</t>
        </is>
      </c>
      <c r="E2485" t="inlineStr">
        <is>
          <t>ÄLVDALEN</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25989-2020</t>
        </is>
      </c>
      <c r="B2486" s="1" t="n">
        <v>43985</v>
      </c>
      <c r="C2486" s="1" t="n">
        <v>45210</v>
      </c>
      <c r="D2486" t="inlineStr">
        <is>
          <t>DALARNAS LÄN</t>
        </is>
      </c>
      <c r="E2486" t="inlineStr">
        <is>
          <t>LEKSAND</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25991-2020</t>
        </is>
      </c>
      <c r="B2487" s="1" t="n">
        <v>43985</v>
      </c>
      <c r="C2487" s="1" t="n">
        <v>45210</v>
      </c>
      <c r="D2487" t="inlineStr">
        <is>
          <t>DALARNAS LÄN</t>
        </is>
      </c>
      <c r="E2487" t="inlineStr">
        <is>
          <t>RÄTTVIK</t>
        </is>
      </c>
      <c r="G2487" t="n">
        <v>3.2</v>
      </c>
      <c r="H2487" t="n">
        <v>0</v>
      </c>
      <c r="I2487" t="n">
        <v>0</v>
      </c>
      <c r="J2487" t="n">
        <v>0</v>
      </c>
      <c r="K2487" t="n">
        <v>0</v>
      </c>
      <c r="L2487" t="n">
        <v>0</v>
      </c>
      <c r="M2487" t="n">
        <v>0</v>
      </c>
      <c r="N2487" t="n">
        <v>0</v>
      </c>
      <c r="O2487" t="n">
        <v>0</v>
      </c>
      <c r="P2487" t="n">
        <v>0</v>
      </c>
      <c r="Q2487" t="n">
        <v>0</v>
      </c>
      <c r="R2487" s="2" t="inlineStr"/>
    </row>
    <row r="2488" ht="15" customHeight="1">
      <c r="A2488" t="inlineStr">
        <is>
          <t>A 26309-2020</t>
        </is>
      </c>
      <c r="B2488" s="1" t="n">
        <v>43986</v>
      </c>
      <c r="C2488" s="1" t="n">
        <v>45210</v>
      </c>
      <c r="D2488" t="inlineStr">
        <is>
          <t>DALARNAS LÄN</t>
        </is>
      </c>
      <c r="E2488" t="inlineStr">
        <is>
          <t>SMEDJEBACKEN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26305-2020</t>
        </is>
      </c>
      <c r="B2489" s="1" t="n">
        <v>43986</v>
      </c>
      <c r="C2489" s="1" t="n">
        <v>45210</v>
      </c>
      <c r="D2489" t="inlineStr">
        <is>
          <t>DALARNAS LÄN</t>
        </is>
      </c>
      <c r="E2489" t="inlineStr">
        <is>
          <t>MALUNG-SÄLEN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26257-2020</t>
        </is>
      </c>
      <c r="B2490" s="1" t="n">
        <v>43986</v>
      </c>
      <c r="C2490" s="1" t="n">
        <v>45210</v>
      </c>
      <c r="D2490" t="inlineStr">
        <is>
          <t>DALARNAS LÄN</t>
        </is>
      </c>
      <c r="E2490" t="inlineStr">
        <is>
          <t>FALUN</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26303-2020</t>
        </is>
      </c>
      <c r="B2491" s="1" t="n">
        <v>43986</v>
      </c>
      <c r="C2491" s="1" t="n">
        <v>45210</v>
      </c>
      <c r="D2491" t="inlineStr">
        <is>
          <t>DALARNAS LÄN</t>
        </is>
      </c>
      <c r="E2491" t="inlineStr">
        <is>
          <t>MALUNG-SÄLEN</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26299-2020</t>
        </is>
      </c>
      <c r="B2492" s="1" t="n">
        <v>43986</v>
      </c>
      <c r="C2492" s="1" t="n">
        <v>45210</v>
      </c>
      <c r="D2492" t="inlineStr">
        <is>
          <t>DALARNAS LÄN</t>
        </is>
      </c>
      <c r="E2492" t="inlineStr">
        <is>
          <t>MALUNG-SÄLEN</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26456-2020</t>
        </is>
      </c>
      <c r="B2493" s="1" t="n">
        <v>43986</v>
      </c>
      <c r="C2493" s="1" t="n">
        <v>45210</v>
      </c>
      <c r="D2493" t="inlineStr">
        <is>
          <t>DALARNAS LÄN</t>
        </is>
      </c>
      <c r="E2493" t="inlineStr">
        <is>
          <t>LEKSAND</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26443-2020</t>
        </is>
      </c>
      <c r="B2494" s="1" t="n">
        <v>43987</v>
      </c>
      <c r="C2494" s="1" t="n">
        <v>45210</v>
      </c>
      <c r="D2494" t="inlineStr">
        <is>
          <t>DALARNAS LÄN</t>
        </is>
      </c>
      <c r="E2494" t="inlineStr">
        <is>
          <t>AVESTA</t>
        </is>
      </c>
      <c r="F2494" t="inlineStr">
        <is>
          <t>Sveaskog</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26431-2020</t>
        </is>
      </c>
      <c r="B2495" s="1" t="n">
        <v>43987</v>
      </c>
      <c r="C2495" s="1" t="n">
        <v>45210</v>
      </c>
      <c r="D2495" t="inlineStr">
        <is>
          <t>DALARNAS LÄN</t>
        </is>
      </c>
      <c r="E2495" t="inlineStr">
        <is>
          <t>VANSBRO</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26444-2020</t>
        </is>
      </c>
      <c r="B2496" s="1" t="n">
        <v>43987</v>
      </c>
      <c r="C2496" s="1" t="n">
        <v>45210</v>
      </c>
      <c r="D2496" t="inlineStr">
        <is>
          <t>DALARNAS LÄN</t>
        </is>
      </c>
      <c r="E2496" t="inlineStr">
        <is>
          <t>AVESTA</t>
        </is>
      </c>
      <c r="F2496" t="inlineStr">
        <is>
          <t>Sveaskog</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26460-2020</t>
        </is>
      </c>
      <c r="B2497" s="1" t="n">
        <v>43987</v>
      </c>
      <c r="C2497" s="1" t="n">
        <v>45210</v>
      </c>
      <c r="D2497" t="inlineStr">
        <is>
          <t>DALARNAS LÄN</t>
        </is>
      </c>
      <c r="E2497" t="inlineStr">
        <is>
          <t>MORA</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26454-2020</t>
        </is>
      </c>
      <c r="B2498" s="1" t="n">
        <v>43987</v>
      </c>
      <c r="C2498" s="1" t="n">
        <v>45210</v>
      </c>
      <c r="D2498" t="inlineStr">
        <is>
          <t>DALARNAS LÄN</t>
        </is>
      </c>
      <c r="E2498" t="inlineStr">
        <is>
          <t>MORA</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26560-2020</t>
        </is>
      </c>
      <c r="B2499" s="1" t="n">
        <v>43987</v>
      </c>
      <c r="C2499" s="1" t="n">
        <v>45210</v>
      </c>
      <c r="D2499" t="inlineStr">
        <is>
          <t>DALARNAS LÄN</t>
        </is>
      </c>
      <c r="E2499" t="inlineStr">
        <is>
          <t>LEKSAND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26489-2020</t>
        </is>
      </c>
      <c r="B2500" s="1" t="n">
        <v>43987</v>
      </c>
      <c r="C2500" s="1" t="n">
        <v>45210</v>
      </c>
      <c r="D2500" t="inlineStr">
        <is>
          <t>DALARNAS LÄN</t>
        </is>
      </c>
      <c r="E2500" t="inlineStr">
        <is>
          <t>VANSBRO</t>
        </is>
      </c>
      <c r="F2500" t="inlineStr">
        <is>
          <t>Kyrkan</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26658-2020</t>
        </is>
      </c>
      <c r="B2501" s="1" t="n">
        <v>43989</v>
      </c>
      <c r="C2501" s="1" t="n">
        <v>45210</v>
      </c>
      <c r="D2501" t="inlineStr">
        <is>
          <t>DALARNAS LÄN</t>
        </is>
      </c>
      <c r="E2501" t="inlineStr">
        <is>
          <t>GAGNEF</t>
        </is>
      </c>
      <c r="F2501" t="inlineStr">
        <is>
          <t>Bergvik skog väst AB</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26808-2020</t>
        </is>
      </c>
      <c r="B2502" s="1" t="n">
        <v>43990</v>
      </c>
      <c r="C2502" s="1" t="n">
        <v>45210</v>
      </c>
      <c r="D2502" t="inlineStr">
        <is>
          <t>DALARNAS LÄN</t>
        </is>
      </c>
      <c r="E2502" t="inlineStr">
        <is>
          <t>ÄLVDALEN</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26697-2020</t>
        </is>
      </c>
      <c r="B2503" s="1" t="n">
        <v>43990</v>
      </c>
      <c r="C2503" s="1" t="n">
        <v>45210</v>
      </c>
      <c r="D2503" t="inlineStr">
        <is>
          <t>DALARNAS LÄN</t>
        </is>
      </c>
      <c r="E2503" t="inlineStr">
        <is>
          <t>MALUNG-SÄLEN</t>
        </is>
      </c>
      <c r="F2503" t="inlineStr">
        <is>
          <t>Allmännings- och besparingsskogar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26747-2020</t>
        </is>
      </c>
      <c r="B2504" s="1" t="n">
        <v>43990</v>
      </c>
      <c r="C2504" s="1" t="n">
        <v>45210</v>
      </c>
      <c r="D2504" t="inlineStr">
        <is>
          <t>DALARNAS LÄN</t>
        </is>
      </c>
      <c r="E2504" t="inlineStr">
        <is>
          <t>RÄTTVIK</t>
        </is>
      </c>
      <c r="G2504" t="n">
        <v>9.5</v>
      </c>
      <c r="H2504" t="n">
        <v>0</v>
      </c>
      <c r="I2504" t="n">
        <v>0</v>
      </c>
      <c r="J2504" t="n">
        <v>0</v>
      </c>
      <c r="K2504" t="n">
        <v>0</v>
      </c>
      <c r="L2504" t="n">
        <v>0</v>
      </c>
      <c r="M2504" t="n">
        <v>0</v>
      </c>
      <c r="N2504" t="n">
        <v>0</v>
      </c>
      <c r="O2504" t="n">
        <v>0</v>
      </c>
      <c r="P2504" t="n">
        <v>0</v>
      </c>
      <c r="Q2504" t="n">
        <v>0</v>
      </c>
      <c r="R2504" s="2" t="inlineStr"/>
    </row>
    <row r="2505" ht="15" customHeight="1">
      <c r="A2505" t="inlineStr">
        <is>
          <t>A 26824-2020</t>
        </is>
      </c>
      <c r="B2505" s="1" t="n">
        <v>43990</v>
      </c>
      <c r="C2505" s="1" t="n">
        <v>45210</v>
      </c>
      <c r="D2505" t="inlineStr">
        <is>
          <t>DALARNAS LÄN</t>
        </is>
      </c>
      <c r="E2505" t="inlineStr">
        <is>
          <t>FALUN</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26905-2020</t>
        </is>
      </c>
      <c r="B2506" s="1" t="n">
        <v>43990</v>
      </c>
      <c r="C2506" s="1" t="n">
        <v>45210</v>
      </c>
      <c r="D2506" t="inlineStr">
        <is>
          <t>DALARNAS LÄN</t>
        </is>
      </c>
      <c r="E2506" t="inlineStr">
        <is>
          <t>MALUNG-SÄLEN</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26952-2020</t>
        </is>
      </c>
      <c r="B2507" s="1" t="n">
        <v>43990</v>
      </c>
      <c r="C2507" s="1" t="n">
        <v>45210</v>
      </c>
      <c r="D2507" t="inlineStr">
        <is>
          <t>DALARNAS LÄN</t>
        </is>
      </c>
      <c r="E2507" t="inlineStr">
        <is>
          <t>SÄTER</t>
        </is>
      </c>
      <c r="F2507" t="inlineStr">
        <is>
          <t>Bergvik skog väst AB</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27125-2020</t>
        </is>
      </c>
      <c r="B2508" s="1" t="n">
        <v>43990</v>
      </c>
      <c r="C2508" s="1" t="n">
        <v>45210</v>
      </c>
      <c r="D2508" t="inlineStr">
        <is>
          <t>DALARNAS LÄN</t>
        </is>
      </c>
      <c r="E2508" t="inlineStr">
        <is>
          <t>MALUNG-SÄLEN</t>
        </is>
      </c>
      <c r="F2508" t="inlineStr">
        <is>
          <t>Allmännings- och besparingsskogar</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26792-2020</t>
        </is>
      </c>
      <c r="B2509" s="1" t="n">
        <v>43990</v>
      </c>
      <c r="C2509" s="1" t="n">
        <v>45210</v>
      </c>
      <c r="D2509" t="inlineStr">
        <is>
          <t>DALARNAS LÄN</t>
        </is>
      </c>
      <c r="E2509" t="inlineStr">
        <is>
          <t>ÄLVDALEN</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26898-2020</t>
        </is>
      </c>
      <c r="B2510" s="1" t="n">
        <v>43990</v>
      </c>
      <c r="C2510" s="1" t="n">
        <v>45210</v>
      </c>
      <c r="D2510" t="inlineStr">
        <is>
          <t>DALARNAS LÄN</t>
        </is>
      </c>
      <c r="E2510" t="inlineStr">
        <is>
          <t>MALUNG-SÄLEN</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26910-2020</t>
        </is>
      </c>
      <c r="B2511" s="1" t="n">
        <v>43990</v>
      </c>
      <c r="C2511" s="1" t="n">
        <v>45210</v>
      </c>
      <c r="D2511" t="inlineStr">
        <is>
          <t>DALARNAS LÄN</t>
        </is>
      </c>
      <c r="E2511" t="inlineStr">
        <is>
          <t>MALUNG-SÄLEN</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26835-2020</t>
        </is>
      </c>
      <c r="B2512" s="1" t="n">
        <v>43990</v>
      </c>
      <c r="C2512" s="1" t="n">
        <v>45210</v>
      </c>
      <c r="D2512" t="inlineStr">
        <is>
          <t>DALARNAS LÄN</t>
        </is>
      </c>
      <c r="E2512" t="inlineStr">
        <is>
          <t>FALUN</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26956-2020</t>
        </is>
      </c>
      <c r="B2513" s="1" t="n">
        <v>43990</v>
      </c>
      <c r="C2513" s="1" t="n">
        <v>45210</v>
      </c>
      <c r="D2513" t="inlineStr">
        <is>
          <t>DALARNAS LÄN</t>
        </is>
      </c>
      <c r="E2513" t="inlineStr">
        <is>
          <t>FALUN</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26994-2020</t>
        </is>
      </c>
      <c r="B2514" s="1" t="n">
        <v>43991</v>
      </c>
      <c r="C2514" s="1" t="n">
        <v>45210</v>
      </c>
      <c r="D2514" t="inlineStr">
        <is>
          <t>DALARNAS LÄN</t>
        </is>
      </c>
      <c r="E2514" t="inlineStr">
        <is>
          <t>RÄTTVIK</t>
        </is>
      </c>
      <c r="F2514" t="inlineStr">
        <is>
          <t>Sveaskog</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27041-2020</t>
        </is>
      </c>
      <c r="B2515" s="1" t="n">
        <v>43991</v>
      </c>
      <c r="C2515" s="1" t="n">
        <v>45210</v>
      </c>
      <c r="D2515" t="inlineStr">
        <is>
          <t>DALARNAS LÄN</t>
        </is>
      </c>
      <c r="E2515" t="inlineStr">
        <is>
          <t>ÄLVDALEN</t>
        </is>
      </c>
      <c r="F2515" t="inlineStr">
        <is>
          <t>Sveaskog</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27076-2020</t>
        </is>
      </c>
      <c r="B2516" s="1" t="n">
        <v>43991</v>
      </c>
      <c r="C2516" s="1" t="n">
        <v>45210</v>
      </c>
      <c r="D2516" t="inlineStr">
        <is>
          <t>DALARNAS LÄN</t>
        </is>
      </c>
      <c r="E2516" t="inlineStr">
        <is>
          <t>HEDEMORA</t>
        </is>
      </c>
      <c r="F2516" t="inlineStr">
        <is>
          <t>Övriga Aktiebolag</t>
        </is>
      </c>
      <c r="G2516" t="n">
        <v>10.4</v>
      </c>
      <c r="H2516" t="n">
        <v>0</v>
      </c>
      <c r="I2516" t="n">
        <v>0</v>
      </c>
      <c r="J2516" t="n">
        <v>0</v>
      </c>
      <c r="K2516" t="n">
        <v>0</v>
      </c>
      <c r="L2516" t="n">
        <v>0</v>
      </c>
      <c r="M2516" t="n">
        <v>0</v>
      </c>
      <c r="N2516" t="n">
        <v>0</v>
      </c>
      <c r="O2516" t="n">
        <v>0</v>
      </c>
      <c r="P2516" t="n">
        <v>0</v>
      </c>
      <c r="Q2516" t="n">
        <v>0</v>
      </c>
      <c r="R2516" s="2" t="inlineStr"/>
    </row>
    <row r="2517" ht="15" customHeight="1">
      <c r="A2517" t="inlineStr">
        <is>
          <t>A 26997-2020</t>
        </is>
      </c>
      <c r="B2517" s="1" t="n">
        <v>43991</v>
      </c>
      <c r="C2517" s="1" t="n">
        <v>45210</v>
      </c>
      <c r="D2517" t="inlineStr">
        <is>
          <t>DALARNAS LÄN</t>
        </is>
      </c>
      <c r="E2517" t="inlineStr">
        <is>
          <t>RÄTTVIK</t>
        </is>
      </c>
      <c r="F2517" t="inlineStr">
        <is>
          <t>Sveaskog</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27038-2020</t>
        </is>
      </c>
      <c r="B2518" s="1" t="n">
        <v>43991</v>
      </c>
      <c r="C2518" s="1" t="n">
        <v>45210</v>
      </c>
      <c r="D2518" t="inlineStr">
        <is>
          <t>DALARNAS LÄN</t>
        </is>
      </c>
      <c r="E2518" t="inlineStr">
        <is>
          <t>ÄLVDALEN</t>
        </is>
      </c>
      <c r="F2518" t="inlineStr">
        <is>
          <t>Sveaskog</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26993-2020</t>
        </is>
      </c>
      <c r="B2519" s="1" t="n">
        <v>43991</v>
      </c>
      <c r="C2519" s="1" t="n">
        <v>45210</v>
      </c>
      <c r="D2519" t="inlineStr">
        <is>
          <t>DALARNAS LÄN</t>
        </is>
      </c>
      <c r="E2519" t="inlineStr">
        <is>
          <t>RÄTTVIK</t>
        </is>
      </c>
      <c r="F2519" t="inlineStr">
        <is>
          <t>Sveaskog</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26998-2020</t>
        </is>
      </c>
      <c r="B2520" s="1" t="n">
        <v>43991</v>
      </c>
      <c r="C2520" s="1" t="n">
        <v>45210</v>
      </c>
      <c r="D2520" t="inlineStr">
        <is>
          <t>DALARNAS LÄN</t>
        </is>
      </c>
      <c r="E2520" t="inlineStr">
        <is>
          <t>RÄTTVIK</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27040-2020</t>
        </is>
      </c>
      <c r="B2521" s="1" t="n">
        <v>43991</v>
      </c>
      <c r="C2521" s="1" t="n">
        <v>45210</v>
      </c>
      <c r="D2521" t="inlineStr">
        <is>
          <t>DALARNAS LÄN</t>
        </is>
      </c>
      <c r="E2521" t="inlineStr">
        <is>
          <t>ÄLVDALEN</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27064-2020</t>
        </is>
      </c>
      <c r="B2522" s="1" t="n">
        <v>43991</v>
      </c>
      <c r="C2522" s="1" t="n">
        <v>45210</v>
      </c>
      <c r="D2522" t="inlineStr">
        <is>
          <t>DALARNAS LÄN</t>
        </is>
      </c>
      <c r="E2522" t="inlineStr">
        <is>
          <t>BORLÄNGE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26995-2020</t>
        </is>
      </c>
      <c r="B2523" s="1" t="n">
        <v>43991</v>
      </c>
      <c r="C2523" s="1" t="n">
        <v>45210</v>
      </c>
      <c r="D2523" t="inlineStr">
        <is>
          <t>DALARNAS LÄN</t>
        </is>
      </c>
      <c r="E2523" t="inlineStr">
        <is>
          <t>RÄTTVIK</t>
        </is>
      </c>
      <c r="F2523" t="inlineStr">
        <is>
          <t>Sveaskog</t>
        </is>
      </c>
      <c r="G2523" t="n">
        <v>2.8</v>
      </c>
      <c r="H2523" t="n">
        <v>0</v>
      </c>
      <c r="I2523" t="n">
        <v>0</v>
      </c>
      <c r="J2523" t="n">
        <v>0</v>
      </c>
      <c r="K2523" t="n">
        <v>0</v>
      </c>
      <c r="L2523" t="n">
        <v>0</v>
      </c>
      <c r="M2523" t="n">
        <v>0</v>
      </c>
      <c r="N2523" t="n">
        <v>0</v>
      </c>
      <c r="O2523" t="n">
        <v>0</v>
      </c>
      <c r="P2523" t="n">
        <v>0</v>
      </c>
      <c r="Q2523" t="n">
        <v>0</v>
      </c>
      <c r="R2523" s="2" t="inlineStr"/>
    </row>
    <row r="2524" ht="15" customHeight="1">
      <c r="A2524" t="inlineStr">
        <is>
          <t>A 27020-2020</t>
        </is>
      </c>
      <c r="B2524" s="1" t="n">
        <v>43991</v>
      </c>
      <c r="C2524" s="1" t="n">
        <v>45210</v>
      </c>
      <c r="D2524" t="inlineStr">
        <is>
          <t>DALARNAS LÄN</t>
        </is>
      </c>
      <c r="E2524" t="inlineStr">
        <is>
          <t>MALUNG-SÄLEN</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27030-2020</t>
        </is>
      </c>
      <c r="B2525" s="1" t="n">
        <v>43991</v>
      </c>
      <c r="C2525" s="1" t="n">
        <v>45210</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27050-2020</t>
        </is>
      </c>
      <c r="B2526" s="1" t="n">
        <v>43991</v>
      </c>
      <c r="C2526" s="1" t="n">
        <v>45210</v>
      </c>
      <c r="D2526" t="inlineStr">
        <is>
          <t>DALARNAS LÄN</t>
        </is>
      </c>
      <c r="E2526" t="inlineStr">
        <is>
          <t>HEDEMORA</t>
        </is>
      </c>
      <c r="F2526" t="inlineStr">
        <is>
          <t>Övriga Aktiebolag</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27607-2020</t>
        </is>
      </c>
      <c r="B2527" s="1" t="n">
        <v>43993</v>
      </c>
      <c r="C2527" s="1" t="n">
        <v>45210</v>
      </c>
      <c r="D2527" t="inlineStr">
        <is>
          <t>DALARNAS LÄN</t>
        </is>
      </c>
      <c r="E2527" t="inlineStr">
        <is>
          <t>VANSBRO</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27562-2020</t>
        </is>
      </c>
      <c r="B2528" s="1" t="n">
        <v>43993</v>
      </c>
      <c r="C2528" s="1" t="n">
        <v>45210</v>
      </c>
      <c r="D2528" t="inlineStr">
        <is>
          <t>DALARNAS LÄN</t>
        </is>
      </c>
      <c r="E2528" t="inlineStr">
        <is>
          <t>LUDVIKA</t>
        </is>
      </c>
      <c r="F2528" t="inlineStr">
        <is>
          <t>Bergvik skog väst AB</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27437-2020</t>
        </is>
      </c>
      <c r="B2529" s="1" t="n">
        <v>43993</v>
      </c>
      <c r="C2529" s="1" t="n">
        <v>45210</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27742-2020</t>
        </is>
      </c>
      <c r="B2530" s="1" t="n">
        <v>43994</v>
      </c>
      <c r="C2530" s="1" t="n">
        <v>45210</v>
      </c>
      <c r="D2530" t="inlineStr">
        <is>
          <t>DALARNAS LÄN</t>
        </is>
      </c>
      <c r="E2530" t="inlineStr">
        <is>
          <t>FALUN</t>
        </is>
      </c>
      <c r="F2530" t="inlineStr">
        <is>
          <t>Kyrkan</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27693-2020</t>
        </is>
      </c>
      <c r="B2531" s="1" t="n">
        <v>43994</v>
      </c>
      <c r="C2531" s="1" t="n">
        <v>45210</v>
      </c>
      <c r="D2531" t="inlineStr">
        <is>
          <t>DALARNAS LÄN</t>
        </is>
      </c>
      <c r="E2531" t="inlineStr">
        <is>
          <t>VANSBRO</t>
        </is>
      </c>
      <c r="F2531" t="inlineStr">
        <is>
          <t>Bergvik skog väst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28033-2020</t>
        </is>
      </c>
      <c r="B2532" s="1" t="n">
        <v>43997</v>
      </c>
      <c r="C2532" s="1" t="n">
        <v>45210</v>
      </c>
      <c r="D2532" t="inlineStr">
        <is>
          <t>DALARNAS LÄN</t>
        </is>
      </c>
      <c r="E2532" t="inlineStr">
        <is>
          <t>FALUN</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28085-2020</t>
        </is>
      </c>
      <c r="B2533" s="1" t="n">
        <v>43997</v>
      </c>
      <c r="C2533" s="1" t="n">
        <v>45210</v>
      </c>
      <c r="D2533" t="inlineStr">
        <is>
          <t>DALARNAS LÄN</t>
        </is>
      </c>
      <c r="E2533" t="inlineStr">
        <is>
          <t>SMEDJEBACKEN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28171-2020</t>
        </is>
      </c>
      <c r="B2534" s="1" t="n">
        <v>43997</v>
      </c>
      <c r="C2534" s="1" t="n">
        <v>45210</v>
      </c>
      <c r="D2534" t="inlineStr">
        <is>
          <t>DALARNAS LÄN</t>
        </is>
      </c>
      <c r="E2534" t="inlineStr">
        <is>
          <t>MALUNG-SÄLEN</t>
        </is>
      </c>
      <c r="G2534" t="n">
        <v>7</v>
      </c>
      <c r="H2534" t="n">
        <v>0</v>
      </c>
      <c r="I2534" t="n">
        <v>0</v>
      </c>
      <c r="J2534" t="n">
        <v>0</v>
      </c>
      <c r="K2534" t="n">
        <v>0</v>
      </c>
      <c r="L2534" t="n">
        <v>0</v>
      </c>
      <c r="M2534" t="n">
        <v>0</v>
      </c>
      <c r="N2534" t="n">
        <v>0</v>
      </c>
      <c r="O2534" t="n">
        <v>0</v>
      </c>
      <c r="P2534" t="n">
        <v>0</v>
      </c>
      <c r="Q2534" t="n">
        <v>0</v>
      </c>
      <c r="R2534" s="2" t="inlineStr"/>
    </row>
    <row r="2535" ht="15" customHeight="1">
      <c r="A2535" t="inlineStr">
        <is>
          <t>A 27961-2020</t>
        </is>
      </c>
      <c r="B2535" s="1" t="n">
        <v>43997</v>
      </c>
      <c r="C2535" s="1" t="n">
        <v>45210</v>
      </c>
      <c r="D2535" t="inlineStr">
        <is>
          <t>DALARNAS LÄN</t>
        </is>
      </c>
      <c r="E2535" t="inlineStr">
        <is>
          <t>SMEDJEBACKEN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28161-2020</t>
        </is>
      </c>
      <c r="B2536" s="1" t="n">
        <v>43997</v>
      </c>
      <c r="C2536" s="1" t="n">
        <v>45210</v>
      </c>
      <c r="D2536" t="inlineStr">
        <is>
          <t>DALARNAS LÄN</t>
        </is>
      </c>
      <c r="E2536" t="inlineStr">
        <is>
          <t>LEKSAND</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27945-2020</t>
        </is>
      </c>
      <c r="B2537" s="1" t="n">
        <v>43997</v>
      </c>
      <c r="C2537" s="1" t="n">
        <v>45210</v>
      </c>
      <c r="D2537" t="inlineStr">
        <is>
          <t>DALARNAS LÄN</t>
        </is>
      </c>
      <c r="E2537" t="inlineStr">
        <is>
          <t>ORSA</t>
        </is>
      </c>
      <c r="F2537" t="inlineStr">
        <is>
          <t>Bergvik skog öst AB</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28336-2020</t>
        </is>
      </c>
      <c r="B2538" s="1" t="n">
        <v>43998</v>
      </c>
      <c r="C2538" s="1" t="n">
        <v>45210</v>
      </c>
      <c r="D2538" t="inlineStr">
        <is>
          <t>DALARNAS LÄN</t>
        </is>
      </c>
      <c r="E2538" t="inlineStr">
        <is>
          <t>FALUN</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28432-2020</t>
        </is>
      </c>
      <c r="B2539" s="1" t="n">
        <v>43998</v>
      </c>
      <c r="C2539" s="1" t="n">
        <v>45210</v>
      </c>
      <c r="D2539" t="inlineStr">
        <is>
          <t>DALARNAS LÄN</t>
        </is>
      </c>
      <c r="E2539" t="inlineStr">
        <is>
          <t>FALUN</t>
        </is>
      </c>
      <c r="F2539" t="inlineStr">
        <is>
          <t>Bergvik skog väst AB</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28348-2020</t>
        </is>
      </c>
      <c r="B2540" s="1" t="n">
        <v>43998</v>
      </c>
      <c r="C2540" s="1" t="n">
        <v>45210</v>
      </c>
      <c r="D2540" t="inlineStr">
        <is>
          <t>DALARNAS LÄN</t>
        </is>
      </c>
      <c r="E2540" t="inlineStr">
        <is>
          <t>VANSBRO</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28377-2020</t>
        </is>
      </c>
      <c r="B2541" s="1" t="n">
        <v>43998</v>
      </c>
      <c r="C2541" s="1" t="n">
        <v>45210</v>
      </c>
      <c r="D2541" t="inlineStr">
        <is>
          <t>DALARNAS LÄN</t>
        </is>
      </c>
      <c r="E2541" t="inlineStr">
        <is>
          <t>MALUNG-SÄLEN</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28419-2020</t>
        </is>
      </c>
      <c r="B2542" s="1" t="n">
        <v>43998</v>
      </c>
      <c r="C2542" s="1" t="n">
        <v>45210</v>
      </c>
      <c r="D2542" t="inlineStr">
        <is>
          <t>DALARNAS LÄN</t>
        </is>
      </c>
      <c r="E2542" t="inlineStr">
        <is>
          <t>FALUN</t>
        </is>
      </c>
      <c r="F2542" t="inlineStr">
        <is>
          <t>Bergvik skog väst AB</t>
        </is>
      </c>
      <c r="G2542" t="n">
        <v>3.9</v>
      </c>
      <c r="H2542" t="n">
        <v>0</v>
      </c>
      <c r="I2542" t="n">
        <v>0</v>
      </c>
      <c r="J2542" t="n">
        <v>0</v>
      </c>
      <c r="K2542" t="n">
        <v>0</v>
      </c>
      <c r="L2542" t="n">
        <v>0</v>
      </c>
      <c r="M2542" t="n">
        <v>0</v>
      </c>
      <c r="N2542" t="n">
        <v>0</v>
      </c>
      <c r="O2542" t="n">
        <v>0</v>
      </c>
      <c r="P2542" t="n">
        <v>0</v>
      </c>
      <c r="Q2542" t="n">
        <v>0</v>
      </c>
      <c r="R2542" s="2" t="inlineStr"/>
    </row>
    <row r="2543" ht="15" customHeight="1">
      <c r="A2543" t="inlineStr">
        <is>
          <t>A 28661-2020</t>
        </is>
      </c>
      <c r="B2543" s="1" t="n">
        <v>43998</v>
      </c>
      <c r="C2543" s="1" t="n">
        <v>45210</v>
      </c>
      <c r="D2543" t="inlineStr">
        <is>
          <t>DALARNAS LÄN</t>
        </is>
      </c>
      <c r="E2543" t="inlineStr">
        <is>
          <t>AVESTA</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28515-2020</t>
        </is>
      </c>
      <c r="B2544" s="1" t="n">
        <v>43999</v>
      </c>
      <c r="C2544" s="1" t="n">
        <v>45210</v>
      </c>
      <c r="D2544" t="inlineStr">
        <is>
          <t>DALARNAS LÄN</t>
        </is>
      </c>
      <c r="E2544" t="inlineStr">
        <is>
          <t>MALUNG-SÄLEN</t>
        </is>
      </c>
      <c r="F2544" t="inlineStr">
        <is>
          <t>Bergvik skog väst AB</t>
        </is>
      </c>
      <c r="G2544" t="n">
        <v>8.699999999999999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28696-2020</t>
        </is>
      </c>
      <c r="B2545" s="1" t="n">
        <v>43999</v>
      </c>
      <c r="C2545" s="1" t="n">
        <v>45210</v>
      </c>
      <c r="D2545" t="inlineStr">
        <is>
          <t>DALARNAS LÄN</t>
        </is>
      </c>
      <c r="E2545" t="inlineStr">
        <is>
          <t>MALUNG-SÄLEN</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28524-2020</t>
        </is>
      </c>
      <c r="B2546" s="1" t="n">
        <v>43999</v>
      </c>
      <c r="C2546" s="1" t="n">
        <v>45210</v>
      </c>
      <c r="D2546" t="inlineStr">
        <is>
          <t>DALARNAS LÄN</t>
        </is>
      </c>
      <c r="E2546" t="inlineStr">
        <is>
          <t>LUDVIKA</t>
        </is>
      </c>
      <c r="F2546" t="inlineStr">
        <is>
          <t>Bergvik skog väst AB</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28796-2020</t>
        </is>
      </c>
      <c r="B2547" s="1" t="n">
        <v>44000</v>
      </c>
      <c r="C2547" s="1" t="n">
        <v>45210</v>
      </c>
      <c r="D2547" t="inlineStr">
        <is>
          <t>DALARNAS LÄN</t>
        </is>
      </c>
      <c r="E2547" t="inlineStr">
        <is>
          <t>LEKSAND</t>
        </is>
      </c>
      <c r="F2547" t="inlineStr">
        <is>
          <t>Bergvik skog väst AB</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28836-2020</t>
        </is>
      </c>
      <c r="B2548" s="1" t="n">
        <v>44000</v>
      </c>
      <c r="C2548" s="1" t="n">
        <v>45210</v>
      </c>
      <c r="D2548" t="inlineStr">
        <is>
          <t>DALARNAS LÄN</t>
        </is>
      </c>
      <c r="E2548" t="inlineStr">
        <is>
          <t>MALUNG-SÄLEN</t>
        </is>
      </c>
      <c r="G2548" t="n">
        <v>16.6</v>
      </c>
      <c r="H2548" t="n">
        <v>0</v>
      </c>
      <c r="I2548" t="n">
        <v>0</v>
      </c>
      <c r="J2548" t="n">
        <v>0</v>
      </c>
      <c r="K2548" t="n">
        <v>0</v>
      </c>
      <c r="L2548" t="n">
        <v>0</v>
      </c>
      <c r="M2548" t="n">
        <v>0</v>
      </c>
      <c r="N2548" t="n">
        <v>0</v>
      </c>
      <c r="O2548" t="n">
        <v>0</v>
      </c>
      <c r="P2548" t="n">
        <v>0</v>
      </c>
      <c r="Q2548" t="n">
        <v>0</v>
      </c>
      <c r="R2548" s="2" t="inlineStr"/>
    </row>
    <row r="2549" ht="15" customHeight="1">
      <c r="A2549" t="inlineStr">
        <is>
          <t>A 28798-2020</t>
        </is>
      </c>
      <c r="B2549" s="1" t="n">
        <v>44000</v>
      </c>
      <c r="C2549" s="1" t="n">
        <v>45210</v>
      </c>
      <c r="D2549" t="inlineStr">
        <is>
          <t>DALARNAS LÄN</t>
        </is>
      </c>
      <c r="E2549" t="inlineStr">
        <is>
          <t>LUDVIKA</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28810-2020</t>
        </is>
      </c>
      <c r="B2550" s="1" t="n">
        <v>44000</v>
      </c>
      <c r="C2550" s="1" t="n">
        <v>45210</v>
      </c>
      <c r="D2550" t="inlineStr">
        <is>
          <t>DALARNAS LÄN</t>
        </is>
      </c>
      <c r="E2550" t="inlineStr">
        <is>
          <t>GAGNEF</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28916-2020</t>
        </is>
      </c>
      <c r="B2551" s="1" t="n">
        <v>44000</v>
      </c>
      <c r="C2551" s="1" t="n">
        <v>45210</v>
      </c>
      <c r="D2551" t="inlineStr">
        <is>
          <t>DALARNAS LÄN</t>
        </is>
      </c>
      <c r="E2551" t="inlineStr">
        <is>
          <t>SMEDJEBACKEN</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29089-2020</t>
        </is>
      </c>
      <c r="B2552" s="1" t="n">
        <v>44002</v>
      </c>
      <c r="C2552" s="1" t="n">
        <v>45210</v>
      </c>
      <c r="D2552" t="inlineStr">
        <is>
          <t>DALARNAS LÄN</t>
        </is>
      </c>
      <c r="E2552" t="inlineStr">
        <is>
          <t>LEKSAND</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29088-2020</t>
        </is>
      </c>
      <c r="B2553" s="1" t="n">
        <v>44002</v>
      </c>
      <c r="C2553" s="1" t="n">
        <v>45210</v>
      </c>
      <c r="D2553" t="inlineStr">
        <is>
          <t>DALARNAS LÄN</t>
        </is>
      </c>
      <c r="E2553" t="inlineStr">
        <is>
          <t>LEKSAND</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29233-2020</t>
        </is>
      </c>
      <c r="B2554" s="1" t="n">
        <v>44004</v>
      </c>
      <c r="C2554" s="1" t="n">
        <v>45210</v>
      </c>
      <c r="D2554" t="inlineStr">
        <is>
          <t>DALARNAS LÄN</t>
        </is>
      </c>
      <c r="E2554" t="inlineStr">
        <is>
          <t>SÄTER</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29534-2020</t>
        </is>
      </c>
      <c r="B2555" s="1" t="n">
        <v>44005</v>
      </c>
      <c r="C2555" s="1" t="n">
        <v>45210</v>
      </c>
      <c r="D2555" t="inlineStr">
        <is>
          <t>DALARNAS LÄN</t>
        </is>
      </c>
      <c r="E2555" t="inlineStr">
        <is>
          <t>RÄTTVIK</t>
        </is>
      </c>
      <c r="F2555" t="inlineStr">
        <is>
          <t>Sveaskog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29545-2020</t>
        </is>
      </c>
      <c r="B2556" s="1" t="n">
        <v>44005</v>
      </c>
      <c r="C2556" s="1" t="n">
        <v>45210</v>
      </c>
      <c r="D2556" t="inlineStr">
        <is>
          <t>DALARNAS LÄN</t>
        </is>
      </c>
      <c r="E2556" t="inlineStr">
        <is>
          <t>ÄLVDALEN</t>
        </is>
      </c>
      <c r="F2556" t="inlineStr">
        <is>
          <t>Bergvik skog väst AB</t>
        </is>
      </c>
      <c r="G2556" t="n">
        <v>7.2</v>
      </c>
      <c r="H2556" t="n">
        <v>0</v>
      </c>
      <c r="I2556" t="n">
        <v>0</v>
      </c>
      <c r="J2556" t="n">
        <v>0</v>
      </c>
      <c r="K2556" t="n">
        <v>0</v>
      </c>
      <c r="L2556" t="n">
        <v>0</v>
      </c>
      <c r="M2556" t="n">
        <v>0</v>
      </c>
      <c r="N2556" t="n">
        <v>0</v>
      </c>
      <c r="O2556" t="n">
        <v>0</v>
      </c>
      <c r="P2556" t="n">
        <v>0</v>
      </c>
      <c r="Q2556" t="n">
        <v>0</v>
      </c>
      <c r="R2556" s="2" t="inlineStr"/>
    </row>
    <row r="2557" ht="15" customHeight="1">
      <c r="A2557" t="inlineStr">
        <is>
          <t>A 29703-2020</t>
        </is>
      </c>
      <c r="B2557" s="1" t="n">
        <v>44005</v>
      </c>
      <c r="C2557" s="1" t="n">
        <v>45210</v>
      </c>
      <c r="D2557" t="inlineStr">
        <is>
          <t>DALARNAS LÄN</t>
        </is>
      </c>
      <c r="E2557" t="inlineStr">
        <is>
          <t>ÄLVDALEN</t>
        </is>
      </c>
      <c r="F2557" t="inlineStr">
        <is>
          <t>Bergvik skog väst AB</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29751-2020</t>
        </is>
      </c>
      <c r="B2558" s="1" t="n">
        <v>44005</v>
      </c>
      <c r="C2558" s="1" t="n">
        <v>45210</v>
      </c>
      <c r="D2558" t="inlineStr">
        <is>
          <t>DALARNAS LÄN</t>
        </is>
      </c>
      <c r="E2558" t="inlineStr">
        <is>
          <t>MORA</t>
        </is>
      </c>
      <c r="F2558" t="inlineStr">
        <is>
          <t>Bergvik skog väst AB</t>
        </is>
      </c>
      <c r="G2558" t="n">
        <v>3.5</v>
      </c>
      <c r="H2558" t="n">
        <v>0</v>
      </c>
      <c r="I2558" t="n">
        <v>0</v>
      </c>
      <c r="J2558" t="n">
        <v>0</v>
      </c>
      <c r="K2558" t="n">
        <v>0</v>
      </c>
      <c r="L2558" t="n">
        <v>0</v>
      </c>
      <c r="M2558" t="n">
        <v>0</v>
      </c>
      <c r="N2558" t="n">
        <v>0</v>
      </c>
      <c r="O2558" t="n">
        <v>0</v>
      </c>
      <c r="P2558" t="n">
        <v>0</v>
      </c>
      <c r="Q2558" t="n">
        <v>0</v>
      </c>
      <c r="R2558" s="2" t="inlineStr"/>
    </row>
    <row r="2559" ht="15" customHeight="1">
      <c r="A2559" t="inlineStr">
        <is>
          <t>A 29551-2020</t>
        </is>
      </c>
      <c r="B2559" s="1" t="n">
        <v>44005</v>
      </c>
      <c r="C2559" s="1" t="n">
        <v>45210</v>
      </c>
      <c r="D2559" t="inlineStr">
        <is>
          <t>DALARNAS LÄN</t>
        </is>
      </c>
      <c r="E2559" t="inlineStr">
        <is>
          <t>MALUNG-SÄLEN</t>
        </is>
      </c>
      <c r="F2559" t="inlineStr">
        <is>
          <t>Bergvik skog väst AB</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29639-2020</t>
        </is>
      </c>
      <c r="B2560" s="1" t="n">
        <v>44005</v>
      </c>
      <c r="C2560" s="1" t="n">
        <v>45210</v>
      </c>
      <c r="D2560" t="inlineStr">
        <is>
          <t>DALARNAS LÄN</t>
        </is>
      </c>
      <c r="E2560" t="inlineStr">
        <is>
          <t>SÄTER</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29672-2020</t>
        </is>
      </c>
      <c r="B2561" s="1" t="n">
        <v>44005</v>
      </c>
      <c r="C2561" s="1" t="n">
        <v>45210</v>
      </c>
      <c r="D2561" t="inlineStr">
        <is>
          <t>DALARNAS LÄN</t>
        </is>
      </c>
      <c r="E2561" t="inlineStr">
        <is>
          <t>LEKSAND</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29857-2020</t>
        </is>
      </c>
      <c r="B2562" s="1" t="n">
        <v>44006</v>
      </c>
      <c r="C2562" s="1" t="n">
        <v>45210</v>
      </c>
      <c r="D2562" t="inlineStr">
        <is>
          <t>DALARNAS LÄN</t>
        </is>
      </c>
      <c r="E2562" t="inlineStr">
        <is>
          <t>HEDEMORA</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29951-2020</t>
        </is>
      </c>
      <c r="B2563" s="1" t="n">
        <v>44006</v>
      </c>
      <c r="C2563" s="1" t="n">
        <v>45210</v>
      </c>
      <c r="D2563" t="inlineStr">
        <is>
          <t>DALARNAS LÄN</t>
        </is>
      </c>
      <c r="E2563" t="inlineStr">
        <is>
          <t>FALUN</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29869-2020</t>
        </is>
      </c>
      <c r="B2564" s="1" t="n">
        <v>44006</v>
      </c>
      <c r="C2564" s="1" t="n">
        <v>45210</v>
      </c>
      <c r="D2564" t="inlineStr">
        <is>
          <t>DALARNAS LÄN</t>
        </is>
      </c>
      <c r="E2564" t="inlineStr">
        <is>
          <t>LUDVIKA</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29881-2020</t>
        </is>
      </c>
      <c r="B2565" s="1" t="n">
        <v>44006</v>
      </c>
      <c r="C2565" s="1" t="n">
        <v>45210</v>
      </c>
      <c r="D2565" t="inlineStr">
        <is>
          <t>DALARNAS LÄN</t>
        </is>
      </c>
      <c r="E2565" t="inlineStr">
        <is>
          <t>MORA</t>
        </is>
      </c>
      <c r="G2565" t="n">
        <v>3.7</v>
      </c>
      <c r="H2565" t="n">
        <v>0</v>
      </c>
      <c r="I2565" t="n">
        <v>0</v>
      </c>
      <c r="J2565" t="n">
        <v>0</v>
      </c>
      <c r="K2565" t="n">
        <v>0</v>
      </c>
      <c r="L2565" t="n">
        <v>0</v>
      </c>
      <c r="M2565" t="n">
        <v>0</v>
      </c>
      <c r="N2565" t="n">
        <v>0</v>
      </c>
      <c r="O2565" t="n">
        <v>0</v>
      </c>
      <c r="P2565" t="n">
        <v>0</v>
      </c>
      <c r="Q2565" t="n">
        <v>0</v>
      </c>
      <c r="R2565" s="2" t="inlineStr"/>
    </row>
    <row r="2566" ht="15" customHeight="1">
      <c r="A2566" t="inlineStr">
        <is>
          <t>A 30294-2020</t>
        </is>
      </c>
      <c r="B2566" s="1" t="n">
        <v>44007</v>
      </c>
      <c r="C2566" s="1" t="n">
        <v>45210</v>
      </c>
      <c r="D2566" t="inlineStr">
        <is>
          <t>DALARNAS LÄN</t>
        </is>
      </c>
      <c r="E2566" t="inlineStr">
        <is>
          <t>SÄTER</t>
        </is>
      </c>
      <c r="F2566" t="inlineStr">
        <is>
          <t>Bergvik skog väst AB</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30308-2020</t>
        </is>
      </c>
      <c r="B2567" s="1" t="n">
        <v>44007</v>
      </c>
      <c r="C2567" s="1" t="n">
        <v>45210</v>
      </c>
      <c r="D2567" t="inlineStr">
        <is>
          <t>DALARNAS LÄN</t>
        </is>
      </c>
      <c r="E2567" t="inlineStr">
        <is>
          <t>VANSBRO</t>
        </is>
      </c>
      <c r="G2567" t="n">
        <v>6.5</v>
      </c>
      <c r="H2567" t="n">
        <v>0</v>
      </c>
      <c r="I2567" t="n">
        <v>0</v>
      </c>
      <c r="J2567" t="n">
        <v>0</v>
      </c>
      <c r="K2567" t="n">
        <v>0</v>
      </c>
      <c r="L2567" t="n">
        <v>0</v>
      </c>
      <c r="M2567" t="n">
        <v>0</v>
      </c>
      <c r="N2567" t="n">
        <v>0</v>
      </c>
      <c r="O2567" t="n">
        <v>0</v>
      </c>
      <c r="P2567" t="n">
        <v>0</v>
      </c>
      <c r="Q2567" t="n">
        <v>0</v>
      </c>
      <c r="R2567" s="2" t="inlineStr"/>
    </row>
    <row r="2568" ht="15" customHeight="1">
      <c r="A2568" t="inlineStr">
        <is>
          <t>A 30262-2020</t>
        </is>
      </c>
      <c r="B2568" s="1" t="n">
        <v>44007</v>
      </c>
      <c r="C2568" s="1" t="n">
        <v>45210</v>
      </c>
      <c r="D2568" t="inlineStr">
        <is>
          <t>DALARNAS LÄN</t>
        </is>
      </c>
      <c r="E2568" t="inlineStr">
        <is>
          <t>MALUNG-SÄLEN</t>
        </is>
      </c>
      <c r="G2568" t="n">
        <v>7.1</v>
      </c>
      <c r="H2568" t="n">
        <v>0</v>
      </c>
      <c r="I2568" t="n">
        <v>0</v>
      </c>
      <c r="J2568" t="n">
        <v>0</v>
      </c>
      <c r="K2568" t="n">
        <v>0</v>
      </c>
      <c r="L2568" t="n">
        <v>0</v>
      </c>
      <c r="M2568" t="n">
        <v>0</v>
      </c>
      <c r="N2568" t="n">
        <v>0</v>
      </c>
      <c r="O2568" t="n">
        <v>0</v>
      </c>
      <c r="P2568" t="n">
        <v>0</v>
      </c>
      <c r="Q2568" t="n">
        <v>0</v>
      </c>
      <c r="R2568" s="2" t="inlineStr"/>
    </row>
    <row r="2569" ht="15" customHeight="1">
      <c r="A2569" t="inlineStr">
        <is>
          <t>A 30288-2020</t>
        </is>
      </c>
      <c r="B2569" s="1" t="n">
        <v>44007</v>
      </c>
      <c r="C2569" s="1" t="n">
        <v>45210</v>
      </c>
      <c r="D2569" t="inlineStr">
        <is>
          <t>DALARNAS LÄN</t>
        </is>
      </c>
      <c r="E2569" t="inlineStr">
        <is>
          <t>SMEDJEBACKEN</t>
        </is>
      </c>
      <c r="F2569" t="inlineStr">
        <is>
          <t>Bergvik skog väst AB</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30316-2020</t>
        </is>
      </c>
      <c r="B2570" s="1" t="n">
        <v>44007</v>
      </c>
      <c r="C2570" s="1" t="n">
        <v>45210</v>
      </c>
      <c r="D2570" t="inlineStr">
        <is>
          <t>DALARNAS LÄN</t>
        </is>
      </c>
      <c r="E2570" t="inlineStr">
        <is>
          <t>FALUN</t>
        </is>
      </c>
      <c r="F2570" t="inlineStr">
        <is>
          <t>Bergvik skog väst AB</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30309-2020</t>
        </is>
      </c>
      <c r="B2571" s="1" t="n">
        <v>44007</v>
      </c>
      <c r="C2571" s="1" t="n">
        <v>45210</v>
      </c>
      <c r="D2571" t="inlineStr">
        <is>
          <t>DALARNAS LÄN</t>
        </is>
      </c>
      <c r="E2571" t="inlineStr">
        <is>
          <t>VANSBRO</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30672-2020</t>
        </is>
      </c>
      <c r="B2572" s="1" t="n">
        <v>44008</v>
      </c>
      <c r="C2572" s="1" t="n">
        <v>45210</v>
      </c>
      <c r="D2572" t="inlineStr">
        <is>
          <t>DALARNAS LÄN</t>
        </is>
      </c>
      <c r="E2572" t="inlineStr">
        <is>
          <t>ORSA</t>
        </is>
      </c>
      <c r="F2572" t="inlineStr">
        <is>
          <t>Bergvik skog öst AB</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30637-2020</t>
        </is>
      </c>
      <c r="B2573" s="1" t="n">
        <v>44008</v>
      </c>
      <c r="C2573" s="1" t="n">
        <v>45210</v>
      </c>
      <c r="D2573" t="inlineStr">
        <is>
          <t>DALARNAS LÄN</t>
        </is>
      </c>
      <c r="E2573" t="inlineStr">
        <is>
          <t>SMEDJEBACKEN</t>
        </is>
      </c>
      <c r="F2573" t="inlineStr">
        <is>
          <t>Sveaskog</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30846-2020</t>
        </is>
      </c>
      <c r="B2574" s="1" t="n">
        <v>44011</v>
      </c>
      <c r="C2574" s="1" t="n">
        <v>45210</v>
      </c>
      <c r="D2574" t="inlineStr">
        <is>
          <t>DALARNAS LÄN</t>
        </is>
      </c>
      <c r="E2574" t="inlineStr">
        <is>
          <t>SÄTER</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30954-2020</t>
        </is>
      </c>
      <c r="B2575" s="1" t="n">
        <v>44011</v>
      </c>
      <c r="C2575" s="1" t="n">
        <v>45210</v>
      </c>
      <c r="D2575" t="inlineStr">
        <is>
          <t>DALARNAS LÄN</t>
        </is>
      </c>
      <c r="E2575" t="inlineStr">
        <is>
          <t>VANSBRO</t>
        </is>
      </c>
      <c r="F2575" t="inlineStr">
        <is>
          <t>Bergvik skog öst AB</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30965-2020</t>
        </is>
      </c>
      <c r="B2576" s="1" t="n">
        <v>44011</v>
      </c>
      <c r="C2576" s="1" t="n">
        <v>45210</v>
      </c>
      <c r="D2576" t="inlineStr">
        <is>
          <t>DALARNAS LÄN</t>
        </is>
      </c>
      <c r="E2576" t="inlineStr">
        <is>
          <t>VANSBRO</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30906-2020</t>
        </is>
      </c>
      <c r="B2577" s="1" t="n">
        <v>44011</v>
      </c>
      <c r="C2577" s="1" t="n">
        <v>45210</v>
      </c>
      <c r="D2577" t="inlineStr">
        <is>
          <t>DALARNAS LÄN</t>
        </is>
      </c>
      <c r="E2577" t="inlineStr">
        <is>
          <t>SÄTER</t>
        </is>
      </c>
      <c r="F2577" t="inlineStr">
        <is>
          <t>Bergvik skog väst AB</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30967-2020</t>
        </is>
      </c>
      <c r="B2578" s="1" t="n">
        <v>44011</v>
      </c>
      <c r="C2578" s="1" t="n">
        <v>45210</v>
      </c>
      <c r="D2578" t="inlineStr">
        <is>
          <t>DALARNAS LÄN</t>
        </is>
      </c>
      <c r="E2578" t="inlineStr">
        <is>
          <t>VANSBRO</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31075-2020</t>
        </is>
      </c>
      <c r="B2579" s="1" t="n">
        <v>44012</v>
      </c>
      <c r="C2579" s="1" t="n">
        <v>45210</v>
      </c>
      <c r="D2579" t="inlineStr">
        <is>
          <t>DALARNAS LÄN</t>
        </is>
      </c>
      <c r="E2579" t="inlineStr">
        <is>
          <t>MALUNG-SÄLEN</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31071-2020</t>
        </is>
      </c>
      <c r="B2580" s="1" t="n">
        <v>44012</v>
      </c>
      <c r="C2580" s="1" t="n">
        <v>45210</v>
      </c>
      <c r="D2580" t="inlineStr">
        <is>
          <t>DALARNAS LÄN</t>
        </is>
      </c>
      <c r="E2580" t="inlineStr">
        <is>
          <t>MALUNG-SÄLEN</t>
        </is>
      </c>
      <c r="F2580" t="inlineStr">
        <is>
          <t>Bergvik skog öst AB</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31257-2020</t>
        </is>
      </c>
      <c r="B2581" s="1" t="n">
        <v>44012</v>
      </c>
      <c r="C2581" s="1" t="n">
        <v>45210</v>
      </c>
      <c r="D2581" t="inlineStr">
        <is>
          <t>DALARNAS LÄN</t>
        </is>
      </c>
      <c r="E2581" t="inlineStr">
        <is>
          <t>LUDVIKA</t>
        </is>
      </c>
      <c r="F2581" t="inlineStr">
        <is>
          <t>Bergvik skog väst AB</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31579-2020</t>
        </is>
      </c>
      <c r="B2582" s="1" t="n">
        <v>44013</v>
      </c>
      <c r="C2582" s="1" t="n">
        <v>45210</v>
      </c>
      <c r="D2582" t="inlineStr">
        <is>
          <t>DALARNAS LÄN</t>
        </is>
      </c>
      <c r="E2582" t="inlineStr">
        <is>
          <t>HEDEMORA</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31629-2020</t>
        </is>
      </c>
      <c r="B2583" s="1" t="n">
        <v>44013</v>
      </c>
      <c r="C2583" s="1" t="n">
        <v>45210</v>
      </c>
      <c r="D2583" t="inlineStr">
        <is>
          <t>DALARNAS LÄN</t>
        </is>
      </c>
      <c r="E2583" t="inlineStr">
        <is>
          <t>LEKSAND</t>
        </is>
      </c>
      <c r="G2583" t="n">
        <v>5.4</v>
      </c>
      <c r="H2583" t="n">
        <v>0</v>
      </c>
      <c r="I2583" t="n">
        <v>0</v>
      </c>
      <c r="J2583" t="n">
        <v>0</v>
      </c>
      <c r="K2583" t="n">
        <v>0</v>
      </c>
      <c r="L2583" t="n">
        <v>0</v>
      </c>
      <c r="M2583" t="n">
        <v>0</v>
      </c>
      <c r="N2583" t="n">
        <v>0</v>
      </c>
      <c r="O2583" t="n">
        <v>0</v>
      </c>
      <c r="P2583" t="n">
        <v>0</v>
      </c>
      <c r="Q2583" t="n">
        <v>0</v>
      </c>
      <c r="R2583" s="2" t="inlineStr"/>
    </row>
    <row r="2584" ht="15" customHeight="1">
      <c r="A2584" t="inlineStr">
        <is>
          <t>A 31502-2020</t>
        </is>
      </c>
      <c r="B2584" s="1" t="n">
        <v>44013</v>
      </c>
      <c r="C2584" s="1" t="n">
        <v>45210</v>
      </c>
      <c r="D2584" t="inlineStr">
        <is>
          <t>DALARNAS LÄN</t>
        </is>
      </c>
      <c r="E2584" t="inlineStr">
        <is>
          <t>HEDEMORA</t>
        </is>
      </c>
      <c r="F2584" t="inlineStr">
        <is>
          <t>Bergvik skog väst AB</t>
        </is>
      </c>
      <c r="G2584" t="n">
        <v>10.2</v>
      </c>
      <c r="H2584" t="n">
        <v>0</v>
      </c>
      <c r="I2584" t="n">
        <v>0</v>
      </c>
      <c r="J2584" t="n">
        <v>0</v>
      </c>
      <c r="K2584" t="n">
        <v>0</v>
      </c>
      <c r="L2584" t="n">
        <v>0</v>
      </c>
      <c r="M2584" t="n">
        <v>0</v>
      </c>
      <c r="N2584" t="n">
        <v>0</v>
      </c>
      <c r="O2584" t="n">
        <v>0</v>
      </c>
      <c r="P2584" t="n">
        <v>0</v>
      </c>
      <c r="Q2584" t="n">
        <v>0</v>
      </c>
      <c r="R2584" s="2" t="inlineStr"/>
    </row>
    <row r="2585" ht="15" customHeight="1">
      <c r="A2585" t="inlineStr">
        <is>
          <t>A 31553-2020</t>
        </is>
      </c>
      <c r="B2585" s="1" t="n">
        <v>44013</v>
      </c>
      <c r="C2585" s="1" t="n">
        <v>45210</v>
      </c>
      <c r="D2585" t="inlineStr">
        <is>
          <t>DALARNAS LÄN</t>
        </is>
      </c>
      <c r="E2585" t="inlineStr">
        <is>
          <t>SÄTER</t>
        </is>
      </c>
      <c r="F2585" t="inlineStr">
        <is>
          <t>Bergvik skog väst AB</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31601-2020</t>
        </is>
      </c>
      <c r="B2586" s="1" t="n">
        <v>44013</v>
      </c>
      <c r="C2586" s="1" t="n">
        <v>45210</v>
      </c>
      <c r="D2586" t="inlineStr">
        <is>
          <t>DALARNAS LÄN</t>
        </is>
      </c>
      <c r="E2586" t="inlineStr">
        <is>
          <t>GAGNEF</t>
        </is>
      </c>
      <c r="F2586" t="inlineStr">
        <is>
          <t>Bergvik skog väst AB</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31945-2020</t>
        </is>
      </c>
      <c r="B2587" s="1" t="n">
        <v>44014</v>
      </c>
      <c r="C2587" s="1" t="n">
        <v>45210</v>
      </c>
      <c r="D2587" t="inlineStr">
        <is>
          <t>DALARNAS LÄN</t>
        </is>
      </c>
      <c r="E2587" t="inlineStr">
        <is>
          <t>GAGNEF</t>
        </is>
      </c>
      <c r="F2587" t="inlineStr">
        <is>
          <t>Bergvik skog väst AB</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31943-2020</t>
        </is>
      </c>
      <c r="B2588" s="1" t="n">
        <v>44014</v>
      </c>
      <c r="C2588" s="1" t="n">
        <v>45210</v>
      </c>
      <c r="D2588" t="inlineStr">
        <is>
          <t>DALARNAS LÄN</t>
        </is>
      </c>
      <c r="E2588" t="inlineStr">
        <is>
          <t>GAGNEF</t>
        </is>
      </c>
      <c r="F2588" t="inlineStr">
        <is>
          <t>Bergvik skog väst AB</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31886-2020</t>
        </is>
      </c>
      <c r="B2589" s="1" t="n">
        <v>44014</v>
      </c>
      <c r="C2589" s="1" t="n">
        <v>45210</v>
      </c>
      <c r="D2589" t="inlineStr">
        <is>
          <t>DALARNAS LÄN</t>
        </is>
      </c>
      <c r="E2589" t="inlineStr">
        <is>
          <t>VANSBRO</t>
        </is>
      </c>
      <c r="F2589" t="inlineStr">
        <is>
          <t>Bergvik skog öst AB</t>
        </is>
      </c>
      <c r="G2589" t="n">
        <v>4</v>
      </c>
      <c r="H2589" t="n">
        <v>0</v>
      </c>
      <c r="I2589" t="n">
        <v>0</v>
      </c>
      <c r="J2589" t="n">
        <v>0</v>
      </c>
      <c r="K2589" t="n">
        <v>0</v>
      </c>
      <c r="L2589" t="n">
        <v>0</v>
      </c>
      <c r="M2589" t="n">
        <v>0</v>
      </c>
      <c r="N2589" t="n">
        <v>0</v>
      </c>
      <c r="O2589" t="n">
        <v>0</v>
      </c>
      <c r="P2589" t="n">
        <v>0</v>
      </c>
      <c r="Q2589" t="n">
        <v>0</v>
      </c>
      <c r="R2589" s="2" t="inlineStr"/>
    </row>
    <row r="2590" ht="15" customHeight="1">
      <c r="A2590" t="inlineStr">
        <is>
          <t>A 31946-2020</t>
        </is>
      </c>
      <c r="B2590" s="1" t="n">
        <v>44014</v>
      </c>
      <c r="C2590" s="1" t="n">
        <v>45210</v>
      </c>
      <c r="D2590" t="inlineStr">
        <is>
          <t>DALARNAS LÄN</t>
        </is>
      </c>
      <c r="E2590" t="inlineStr">
        <is>
          <t>FALUN</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32177-2020</t>
        </is>
      </c>
      <c r="B2591" s="1" t="n">
        <v>44015</v>
      </c>
      <c r="C2591" s="1" t="n">
        <v>45210</v>
      </c>
      <c r="D2591" t="inlineStr">
        <is>
          <t>DALARNAS LÄN</t>
        </is>
      </c>
      <c r="E2591" t="inlineStr">
        <is>
          <t>SMEDJEBACKEN</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32285-2020</t>
        </is>
      </c>
      <c r="B2592" s="1" t="n">
        <v>44015</v>
      </c>
      <c r="C2592" s="1" t="n">
        <v>45210</v>
      </c>
      <c r="D2592" t="inlineStr">
        <is>
          <t>DALARNAS LÄN</t>
        </is>
      </c>
      <c r="E2592" t="inlineStr">
        <is>
          <t>ÄLVDALEN</t>
        </is>
      </c>
      <c r="F2592" t="inlineStr">
        <is>
          <t>Sveaskog</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32073-2020</t>
        </is>
      </c>
      <c r="B2593" s="1" t="n">
        <v>44015</v>
      </c>
      <c r="C2593" s="1" t="n">
        <v>45210</v>
      </c>
      <c r="D2593" t="inlineStr">
        <is>
          <t>DALARNAS LÄN</t>
        </is>
      </c>
      <c r="E2593" t="inlineStr">
        <is>
          <t>GAGNEF</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32282-2020</t>
        </is>
      </c>
      <c r="B2594" s="1" t="n">
        <v>44015</v>
      </c>
      <c r="C2594" s="1" t="n">
        <v>45210</v>
      </c>
      <c r="D2594" t="inlineStr">
        <is>
          <t>DALARNAS LÄN</t>
        </is>
      </c>
      <c r="E2594" t="inlineStr">
        <is>
          <t>ÄLVDALEN</t>
        </is>
      </c>
      <c r="F2594" t="inlineStr">
        <is>
          <t>Sveaskog</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32286-2020</t>
        </is>
      </c>
      <c r="B2595" s="1" t="n">
        <v>44015</v>
      </c>
      <c r="C2595" s="1" t="n">
        <v>45210</v>
      </c>
      <c r="D2595" t="inlineStr">
        <is>
          <t>DALARNAS LÄN</t>
        </is>
      </c>
      <c r="E2595" t="inlineStr">
        <is>
          <t>ÄLVDALEN</t>
        </is>
      </c>
      <c r="F2595" t="inlineStr">
        <is>
          <t>Sveaskog</t>
        </is>
      </c>
      <c r="G2595" t="n">
        <v>10.5</v>
      </c>
      <c r="H2595" t="n">
        <v>0</v>
      </c>
      <c r="I2595" t="n">
        <v>0</v>
      </c>
      <c r="J2595" t="n">
        <v>0</v>
      </c>
      <c r="K2595" t="n">
        <v>0</v>
      </c>
      <c r="L2595" t="n">
        <v>0</v>
      </c>
      <c r="M2595" t="n">
        <v>0</v>
      </c>
      <c r="N2595" t="n">
        <v>0</v>
      </c>
      <c r="O2595" t="n">
        <v>0</v>
      </c>
      <c r="P2595" t="n">
        <v>0</v>
      </c>
      <c r="Q2595" t="n">
        <v>0</v>
      </c>
      <c r="R2595" s="2" t="inlineStr"/>
    </row>
    <row r="2596" ht="15" customHeight="1">
      <c r="A2596" t="inlineStr">
        <is>
          <t>A 32471-2020</t>
        </is>
      </c>
      <c r="B2596" s="1" t="n">
        <v>44018</v>
      </c>
      <c r="C2596" s="1" t="n">
        <v>45210</v>
      </c>
      <c r="D2596" t="inlineStr">
        <is>
          <t>DALARNAS LÄN</t>
        </is>
      </c>
      <c r="E2596" t="inlineStr">
        <is>
          <t>FALUN</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32508-2020</t>
        </is>
      </c>
      <c r="B2597" s="1" t="n">
        <v>44018</v>
      </c>
      <c r="C2597" s="1" t="n">
        <v>45210</v>
      </c>
      <c r="D2597" t="inlineStr">
        <is>
          <t>DALARNAS LÄN</t>
        </is>
      </c>
      <c r="E2597" t="inlineStr">
        <is>
          <t>HEDEMORA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32734-2020</t>
        </is>
      </c>
      <c r="B2598" s="1" t="n">
        <v>44019</v>
      </c>
      <c r="C2598" s="1" t="n">
        <v>45210</v>
      </c>
      <c r="D2598" t="inlineStr">
        <is>
          <t>DALARNAS LÄN</t>
        </is>
      </c>
      <c r="E2598" t="inlineStr">
        <is>
          <t>FALUN</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32735-2020</t>
        </is>
      </c>
      <c r="B2599" s="1" t="n">
        <v>44019</v>
      </c>
      <c r="C2599" s="1" t="n">
        <v>45210</v>
      </c>
      <c r="D2599" t="inlineStr">
        <is>
          <t>DALARNAS LÄN</t>
        </is>
      </c>
      <c r="E2599" t="inlineStr">
        <is>
          <t>FALUN</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32648-2020</t>
        </is>
      </c>
      <c r="B2600" s="1" t="n">
        <v>44019</v>
      </c>
      <c r="C2600" s="1" t="n">
        <v>45210</v>
      </c>
      <c r="D2600" t="inlineStr">
        <is>
          <t>DALARNAS LÄN</t>
        </is>
      </c>
      <c r="E2600" t="inlineStr">
        <is>
          <t>SÄTER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32815-2020</t>
        </is>
      </c>
      <c r="B2601" s="1" t="n">
        <v>44020</v>
      </c>
      <c r="C2601" s="1" t="n">
        <v>45210</v>
      </c>
      <c r="D2601" t="inlineStr">
        <is>
          <t>DALARNAS LÄN</t>
        </is>
      </c>
      <c r="E2601" t="inlineStr">
        <is>
          <t>MALUNG-SÄLEN</t>
        </is>
      </c>
      <c r="F2601" t="inlineStr">
        <is>
          <t>Bergvik skog öst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32994-2020</t>
        </is>
      </c>
      <c r="B2602" s="1" t="n">
        <v>44020</v>
      </c>
      <c r="C2602" s="1" t="n">
        <v>45210</v>
      </c>
      <c r="D2602" t="inlineStr">
        <is>
          <t>DALARNAS LÄN</t>
        </is>
      </c>
      <c r="E2602" t="inlineStr">
        <is>
          <t>LUDVIKA</t>
        </is>
      </c>
      <c r="F2602" t="inlineStr">
        <is>
          <t>Bergvik skog väst AB</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33071-2020</t>
        </is>
      </c>
      <c r="B2603" s="1" t="n">
        <v>44021</v>
      </c>
      <c r="C2603" s="1" t="n">
        <v>45210</v>
      </c>
      <c r="D2603" t="inlineStr">
        <is>
          <t>DALARNAS LÄN</t>
        </is>
      </c>
      <c r="E2603" t="inlineStr">
        <is>
          <t>MALUNG-SÄLEN</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33065-2020</t>
        </is>
      </c>
      <c r="B2604" s="1" t="n">
        <v>44021</v>
      </c>
      <c r="C2604" s="1" t="n">
        <v>45210</v>
      </c>
      <c r="D2604" t="inlineStr">
        <is>
          <t>DALARNAS LÄN</t>
        </is>
      </c>
      <c r="E2604" t="inlineStr">
        <is>
          <t>MALUNG-SÄLEN</t>
        </is>
      </c>
      <c r="G2604" t="n">
        <v>2.1</v>
      </c>
      <c r="H2604" t="n">
        <v>0</v>
      </c>
      <c r="I2604" t="n">
        <v>0</v>
      </c>
      <c r="J2604" t="n">
        <v>0</v>
      </c>
      <c r="K2604" t="n">
        <v>0</v>
      </c>
      <c r="L2604" t="n">
        <v>0</v>
      </c>
      <c r="M2604" t="n">
        <v>0</v>
      </c>
      <c r="N2604" t="n">
        <v>0</v>
      </c>
      <c r="O2604" t="n">
        <v>0</v>
      </c>
      <c r="P2604" t="n">
        <v>0</v>
      </c>
      <c r="Q2604" t="n">
        <v>0</v>
      </c>
      <c r="R2604" s="2" t="inlineStr"/>
    </row>
    <row r="2605" ht="15" customHeight="1">
      <c r="A2605" t="inlineStr">
        <is>
          <t>A 33263-2020</t>
        </is>
      </c>
      <c r="B2605" s="1" t="n">
        <v>44021</v>
      </c>
      <c r="C2605" s="1" t="n">
        <v>45210</v>
      </c>
      <c r="D2605" t="inlineStr">
        <is>
          <t>DALARNAS LÄN</t>
        </is>
      </c>
      <c r="E2605" t="inlineStr">
        <is>
          <t>FALUN</t>
        </is>
      </c>
      <c r="F2605" t="inlineStr">
        <is>
          <t>Allmännings- och besparingsskogar</t>
        </is>
      </c>
      <c r="G2605" t="n">
        <v>19.3</v>
      </c>
      <c r="H2605" t="n">
        <v>0</v>
      </c>
      <c r="I2605" t="n">
        <v>0</v>
      </c>
      <c r="J2605" t="n">
        <v>0</v>
      </c>
      <c r="K2605" t="n">
        <v>0</v>
      </c>
      <c r="L2605" t="n">
        <v>0</v>
      </c>
      <c r="M2605" t="n">
        <v>0</v>
      </c>
      <c r="N2605" t="n">
        <v>0</v>
      </c>
      <c r="O2605" t="n">
        <v>0</v>
      </c>
      <c r="P2605" t="n">
        <v>0</v>
      </c>
      <c r="Q2605" t="n">
        <v>0</v>
      </c>
      <c r="R2605" s="2" t="inlineStr"/>
    </row>
    <row r="2606" ht="15" customHeight="1">
      <c r="A2606" t="inlineStr">
        <is>
          <t>A 33252-2020</t>
        </is>
      </c>
      <c r="B2606" s="1" t="n">
        <v>44022</v>
      </c>
      <c r="C2606" s="1" t="n">
        <v>45210</v>
      </c>
      <c r="D2606" t="inlineStr">
        <is>
          <t>DALARNAS LÄN</t>
        </is>
      </c>
      <c r="E2606" t="inlineStr">
        <is>
          <t>SÄTER</t>
        </is>
      </c>
      <c r="F2606" t="inlineStr">
        <is>
          <t>Bergvik skog väst AB</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33357-2020</t>
        </is>
      </c>
      <c r="B2607" s="1" t="n">
        <v>44022</v>
      </c>
      <c r="C2607" s="1" t="n">
        <v>45210</v>
      </c>
      <c r="D2607" t="inlineStr">
        <is>
          <t>DALARNAS LÄN</t>
        </is>
      </c>
      <c r="E2607" t="inlineStr">
        <is>
          <t>LUDVIKA</t>
        </is>
      </c>
      <c r="F2607" t="inlineStr">
        <is>
          <t>Bergvik skog väst AB</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33581-2020</t>
        </is>
      </c>
      <c r="B2608" s="1" t="n">
        <v>44022</v>
      </c>
      <c r="C2608" s="1" t="n">
        <v>45210</v>
      </c>
      <c r="D2608" t="inlineStr">
        <is>
          <t>DALARNAS LÄN</t>
        </is>
      </c>
      <c r="E2608" t="inlineStr">
        <is>
          <t>MORA</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33673-2020</t>
        </is>
      </c>
      <c r="B2609" s="1" t="n">
        <v>44026</v>
      </c>
      <c r="C2609" s="1" t="n">
        <v>45210</v>
      </c>
      <c r="D2609" t="inlineStr">
        <is>
          <t>DALARNAS LÄN</t>
        </is>
      </c>
      <c r="E2609" t="inlineStr">
        <is>
          <t>LEKSAND</t>
        </is>
      </c>
      <c r="F2609" t="inlineStr">
        <is>
          <t>Bergvik skog väst AB</t>
        </is>
      </c>
      <c r="G2609" t="n">
        <v>3.7</v>
      </c>
      <c r="H2609" t="n">
        <v>0</v>
      </c>
      <c r="I2609" t="n">
        <v>0</v>
      </c>
      <c r="J2609" t="n">
        <v>0</v>
      </c>
      <c r="K2609" t="n">
        <v>0</v>
      </c>
      <c r="L2609" t="n">
        <v>0</v>
      </c>
      <c r="M2609" t="n">
        <v>0</v>
      </c>
      <c r="N2609" t="n">
        <v>0</v>
      </c>
      <c r="O2609" t="n">
        <v>0</v>
      </c>
      <c r="P2609" t="n">
        <v>0</v>
      </c>
      <c r="Q2609" t="n">
        <v>0</v>
      </c>
      <c r="R2609" s="2" t="inlineStr"/>
    </row>
    <row r="2610" ht="15" customHeight="1">
      <c r="A2610" t="inlineStr">
        <is>
          <t>A 33655-2020</t>
        </is>
      </c>
      <c r="B2610" s="1" t="n">
        <v>44026</v>
      </c>
      <c r="C2610" s="1" t="n">
        <v>45210</v>
      </c>
      <c r="D2610" t="inlineStr">
        <is>
          <t>DALARNAS LÄN</t>
        </is>
      </c>
      <c r="E2610" t="inlineStr">
        <is>
          <t>SMEDJEBACKEN</t>
        </is>
      </c>
      <c r="F2610" t="inlineStr">
        <is>
          <t>Kyrkan</t>
        </is>
      </c>
      <c r="G2610" t="n">
        <v>7.7</v>
      </c>
      <c r="H2610" t="n">
        <v>0</v>
      </c>
      <c r="I2610" t="n">
        <v>0</v>
      </c>
      <c r="J2610" t="n">
        <v>0</v>
      </c>
      <c r="K2610" t="n">
        <v>0</v>
      </c>
      <c r="L2610" t="n">
        <v>0</v>
      </c>
      <c r="M2610" t="n">
        <v>0</v>
      </c>
      <c r="N2610" t="n">
        <v>0</v>
      </c>
      <c r="O2610" t="n">
        <v>0</v>
      </c>
      <c r="P2610" t="n">
        <v>0</v>
      </c>
      <c r="Q2610" t="n">
        <v>0</v>
      </c>
      <c r="R2610" s="2" t="inlineStr"/>
    </row>
    <row r="2611" ht="15" customHeight="1">
      <c r="A2611" t="inlineStr">
        <is>
          <t>A 33831-2020</t>
        </is>
      </c>
      <c r="B2611" s="1" t="n">
        <v>44027</v>
      </c>
      <c r="C2611" s="1" t="n">
        <v>45210</v>
      </c>
      <c r="D2611" t="inlineStr">
        <is>
          <t>DALARNAS LÄN</t>
        </is>
      </c>
      <c r="E2611" t="inlineStr">
        <is>
          <t>SÄTER</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33816-2020</t>
        </is>
      </c>
      <c r="B2612" s="1" t="n">
        <v>44027</v>
      </c>
      <c r="C2612" s="1" t="n">
        <v>45210</v>
      </c>
      <c r="D2612" t="inlineStr">
        <is>
          <t>DALARNAS LÄN</t>
        </is>
      </c>
      <c r="E2612" t="inlineStr">
        <is>
          <t>ÄLVDALEN</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34020-2020</t>
        </is>
      </c>
      <c r="B2613" s="1" t="n">
        <v>44028</v>
      </c>
      <c r="C2613" s="1" t="n">
        <v>45210</v>
      </c>
      <c r="D2613" t="inlineStr">
        <is>
          <t>DALARNAS LÄN</t>
        </is>
      </c>
      <c r="E2613" t="inlineStr">
        <is>
          <t>VANSBRO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34042-2020</t>
        </is>
      </c>
      <c r="B2614" s="1" t="n">
        <v>44028</v>
      </c>
      <c r="C2614" s="1" t="n">
        <v>45210</v>
      </c>
      <c r="D2614" t="inlineStr">
        <is>
          <t>DALARNAS LÄN</t>
        </is>
      </c>
      <c r="E2614" t="inlineStr">
        <is>
          <t>SÄTER</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34492-2020</t>
        </is>
      </c>
      <c r="B2615" s="1" t="n">
        <v>44029</v>
      </c>
      <c r="C2615" s="1" t="n">
        <v>45210</v>
      </c>
      <c r="D2615" t="inlineStr">
        <is>
          <t>DALARNAS LÄN</t>
        </is>
      </c>
      <c r="E2615" t="inlineStr">
        <is>
          <t>FALUN</t>
        </is>
      </c>
      <c r="F2615" t="inlineStr">
        <is>
          <t>Kyrkan</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34454-2020</t>
        </is>
      </c>
      <c r="B2616" s="1" t="n">
        <v>44032</v>
      </c>
      <c r="C2616" s="1" t="n">
        <v>45210</v>
      </c>
      <c r="D2616" t="inlineStr">
        <is>
          <t>DALARNAS LÄN</t>
        </is>
      </c>
      <c r="E2616" t="inlineStr">
        <is>
          <t>MORA</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34455-2020</t>
        </is>
      </c>
      <c r="B2617" s="1" t="n">
        <v>44032</v>
      </c>
      <c r="C2617" s="1" t="n">
        <v>45210</v>
      </c>
      <c r="D2617" t="inlineStr">
        <is>
          <t>DALARNAS LÄN</t>
        </is>
      </c>
      <c r="E2617" t="inlineStr">
        <is>
          <t>MORA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34446-2020</t>
        </is>
      </c>
      <c r="B2618" s="1" t="n">
        <v>44032</v>
      </c>
      <c r="C2618" s="1" t="n">
        <v>45210</v>
      </c>
      <c r="D2618" t="inlineStr">
        <is>
          <t>DALARNAS LÄN</t>
        </is>
      </c>
      <c r="E2618" t="inlineStr">
        <is>
          <t>MORA</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34544-2020</t>
        </is>
      </c>
      <c r="B2619" s="1" t="n">
        <v>44032</v>
      </c>
      <c r="C2619" s="1" t="n">
        <v>45210</v>
      </c>
      <c r="D2619" t="inlineStr">
        <is>
          <t>DALARNAS LÄN</t>
        </is>
      </c>
      <c r="E2619" t="inlineStr">
        <is>
          <t>ORSA</t>
        </is>
      </c>
      <c r="G2619" t="n">
        <v>3.2</v>
      </c>
      <c r="H2619" t="n">
        <v>0</v>
      </c>
      <c r="I2619" t="n">
        <v>0</v>
      </c>
      <c r="J2619" t="n">
        <v>0</v>
      </c>
      <c r="K2619" t="n">
        <v>0</v>
      </c>
      <c r="L2619" t="n">
        <v>0</v>
      </c>
      <c r="M2619" t="n">
        <v>0</v>
      </c>
      <c r="N2619" t="n">
        <v>0</v>
      </c>
      <c r="O2619" t="n">
        <v>0</v>
      </c>
      <c r="P2619" t="n">
        <v>0</v>
      </c>
      <c r="Q2619" t="n">
        <v>0</v>
      </c>
      <c r="R2619" s="2" t="inlineStr"/>
    </row>
    <row r="2620" ht="15" customHeight="1">
      <c r="A2620" t="inlineStr">
        <is>
          <t>A 34524-2020</t>
        </is>
      </c>
      <c r="B2620" s="1" t="n">
        <v>44033</v>
      </c>
      <c r="C2620" s="1" t="n">
        <v>45210</v>
      </c>
      <c r="D2620" t="inlineStr">
        <is>
          <t>DALARNAS LÄN</t>
        </is>
      </c>
      <c r="E2620" t="inlineStr">
        <is>
          <t>RÄTTVIK</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34618-2020</t>
        </is>
      </c>
      <c r="B2621" s="1" t="n">
        <v>44034</v>
      </c>
      <c r="C2621" s="1" t="n">
        <v>45210</v>
      </c>
      <c r="D2621" t="inlineStr">
        <is>
          <t>DALARNAS LÄN</t>
        </is>
      </c>
      <c r="E2621" t="inlineStr">
        <is>
          <t>SMEDJEBACKEN</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34915-2020</t>
        </is>
      </c>
      <c r="B2622" s="1" t="n">
        <v>44036</v>
      </c>
      <c r="C2622" s="1" t="n">
        <v>45210</v>
      </c>
      <c r="D2622" t="inlineStr">
        <is>
          <t>DALARNAS LÄN</t>
        </is>
      </c>
      <c r="E2622" t="inlineStr">
        <is>
          <t>LUDVIKA</t>
        </is>
      </c>
      <c r="F2622" t="inlineStr">
        <is>
          <t>Bergvik skog väst AB</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35021-2020</t>
        </is>
      </c>
      <c r="B2623" s="1" t="n">
        <v>44039</v>
      </c>
      <c r="C2623" s="1" t="n">
        <v>45210</v>
      </c>
      <c r="D2623" t="inlineStr">
        <is>
          <t>DALARNAS LÄN</t>
        </is>
      </c>
      <c r="E2623" t="inlineStr">
        <is>
          <t>FALUN</t>
        </is>
      </c>
      <c r="G2623" t="n">
        <v>3.4</v>
      </c>
      <c r="H2623" t="n">
        <v>0</v>
      </c>
      <c r="I2623" t="n">
        <v>0</v>
      </c>
      <c r="J2623" t="n">
        <v>0</v>
      </c>
      <c r="K2623" t="n">
        <v>0</v>
      </c>
      <c r="L2623" t="n">
        <v>0</v>
      </c>
      <c r="M2623" t="n">
        <v>0</v>
      </c>
      <c r="N2623" t="n">
        <v>0</v>
      </c>
      <c r="O2623" t="n">
        <v>0</v>
      </c>
      <c r="P2623" t="n">
        <v>0</v>
      </c>
      <c r="Q2623" t="n">
        <v>0</v>
      </c>
      <c r="R2623" s="2" t="inlineStr"/>
    </row>
    <row r="2624" ht="15" customHeight="1">
      <c r="A2624" t="inlineStr">
        <is>
          <t>A 35075-2020</t>
        </is>
      </c>
      <c r="B2624" s="1" t="n">
        <v>44039</v>
      </c>
      <c r="C2624" s="1" t="n">
        <v>45210</v>
      </c>
      <c r="D2624" t="inlineStr">
        <is>
          <t>DALARNAS LÄN</t>
        </is>
      </c>
      <c r="E2624" t="inlineStr">
        <is>
          <t>AVESTA</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34960-2020</t>
        </is>
      </c>
      <c r="B2625" s="1" t="n">
        <v>44039</v>
      </c>
      <c r="C2625" s="1" t="n">
        <v>45210</v>
      </c>
      <c r="D2625" t="inlineStr">
        <is>
          <t>DALARNAS LÄN</t>
        </is>
      </c>
      <c r="E2625" t="inlineStr">
        <is>
          <t>VANSBRO</t>
        </is>
      </c>
      <c r="F2625" t="inlineStr">
        <is>
          <t>Kyrkan</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34986-2020</t>
        </is>
      </c>
      <c r="B2626" s="1" t="n">
        <v>44039</v>
      </c>
      <c r="C2626" s="1" t="n">
        <v>45210</v>
      </c>
      <c r="D2626" t="inlineStr">
        <is>
          <t>DALARNAS LÄN</t>
        </is>
      </c>
      <c r="E2626" t="inlineStr">
        <is>
          <t>ORSA</t>
        </is>
      </c>
      <c r="F2626" t="inlineStr">
        <is>
          <t>Bergvik skog öst AB</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35000-2020</t>
        </is>
      </c>
      <c r="B2627" s="1" t="n">
        <v>44039</v>
      </c>
      <c r="C2627" s="1" t="n">
        <v>45210</v>
      </c>
      <c r="D2627" t="inlineStr">
        <is>
          <t>DALARNAS LÄN</t>
        </is>
      </c>
      <c r="E2627" t="inlineStr">
        <is>
          <t>RÄTTVIK</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35440-2020</t>
        </is>
      </c>
      <c r="B2628" s="1" t="n">
        <v>44042</v>
      </c>
      <c r="C2628" s="1" t="n">
        <v>45210</v>
      </c>
      <c r="D2628" t="inlineStr">
        <is>
          <t>DALARNAS LÄN</t>
        </is>
      </c>
      <c r="E2628" t="inlineStr">
        <is>
          <t>GAGNEF</t>
        </is>
      </c>
      <c r="F2628" t="inlineStr">
        <is>
          <t>Bergvik skog väst AB</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35536-2020</t>
        </is>
      </c>
      <c r="B2629" s="1" t="n">
        <v>44043</v>
      </c>
      <c r="C2629" s="1" t="n">
        <v>45210</v>
      </c>
      <c r="D2629" t="inlineStr">
        <is>
          <t>DALARNAS LÄN</t>
        </is>
      </c>
      <c r="E2629" t="inlineStr">
        <is>
          <t>MALUNG-SÄLEN</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35786-2020</t>
        </is>
      </c>
      <c r="B2630" s="1" t="n">
        <v>44046</v>
      </c>
      <c r="C2630" s="1" t="n">
        <v>45210</v>
      </c>
      <c r="D2630" t="inlineStr">
        <is>
          <t>DALARNAS LÄN</t>
        </is>
      </c>
      <c r="E2630" t="inlineStr">
        <is>
          <t>HEDEMORA</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35833-2020</t>
        </is>
      </c>
      <c r="B2631" s="1" t="n">
        <v>44047</v>
      </c>
      <c r="C2631" s="1" t="n">
        <v>45210</v>
      </c>
      <c r="D2631" t="inlineStr">
        <is>
          <t>DALARNAS LÄN</t>
        </is>
      </c>
      <c r="E2631" t="inlineStr">
        <is>
          <t>ÄLVDALEN</t>
        </is>
      </c>
      <c r="G2631" t="n">
        <v>5.8</v>
      </c>
      <c r="H2631" t="n">
        <v>0</v>
      </c>
      <c r="I2631" t="n">
        <v>0</v>
      </c>
      <c r="J2631" t="n">
        <v>0</v>
      </c>
      <c r="K2631" t="n">
        <v>0</v>
      </c>
      <c r="L2631" t="n">
        <v>0</v>
      </c>
      <c r="M2631" t="n">
        <v>0</v>
      </c>
      <c r="N2631" t="n">
        <v>0</v>
      </c>
      <c r="O2631" t="n">
        <v>0</v>
      </c>
      <c r="P2631" t="n">
        <v>0</v>
      </c>
      <c r="Q2631" t="n">
        <v>0</v>
      </c>
      <c r="R2631" s="2" t="inlineStr"/>
    </row>
    <row r="2632" ht="15" customHeight="1">
      <c r="A2632" t="inlineStr">
        <is>
          <t>A 35961-2020</t>
        </is>
      </c>
      <c r="B2632" s="1" t="n">
        <v>44047</v>
      </c>
      <c r="C2632" s="1" t="n">
        <v>45210</v>
      </c>
      <c r="D2632" t="inlineStr">
        <is>
          <t>DALARNAS LÄN</t>
        </is>
      </c>
      <c r="E2632" t="inlineStr">
        <is>
          <t>SMEDJEBACKEN</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36027-2020</t>
        </is>
      </c>
      <c r="B2633" s="1" t="n">
        <v>44047</v>
      </c>
      <c r="C2633" s="1" t="n">
        <v>45210</v>
      </c>
      <c r="D2633" t="inlineStr">
        <is>
          <t>DALARNAS LÄN</t>
        </is>
      </c>
      <c r="E2633" t="inlineStr">
        <is>
          <t>AVESTA</t>
        </is>
      </c>
      <c r="F2633" t="inlineStr">
        <is>
          <t>Sveaskog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35976-2020</t>
        </is>
      </c>
      <c r="B2634" s="1" t="n">
        <v>44047</v>
      </c>
      <c r="C2634" s="1" t="n">
        <v>45210</v>
      </c>
      <c r="D2634" t="inlineStr">
        <is>
          <t>DALARNAS LÄN</t>
        </is>
      </c>
      <c r="E2634" t="inlineStr">
        <is>
          <t>MORA</t>
        </is>
      </c>
      <c r="G2634" t="n">
        <v>6.7</v>
      </c>
      <c r="H2634" t="n">
        <v>0</v>
      </c>
      <c r="I2634" t="n">
        <v>0</v>
      </c>
      <c r="J2634" t="n">
        <v>0</v>
      </c>
      <c r="K2634" t="n">
        <v>0</v>
      </c>
      <c r="L2634" t="n">
        <v>0</v>
      </c>
      <c r="M2634" t="n">
        <v>0</v>
      </c>
      <c r="N2634" t="n">
        <v>0</v>
      </c>
      <c r="O2634" t="n">
        <v>0</v>
      </c>
      <c r="P2634" t="n">
        <v>0</v>
      </c>
      <c r="Q2634" t="n">
        <v>0</v>
      </c>
      <c r="R2634" s="2" t="inlineStr"/>
    </row>
    <row r="2635" ht="15" customHeight="1">
      <c r="A2635" t="inlineStr">
        <is>
          <t>A 36151-2020</t>
        </is>
      </c>
      <c r="B2635" s="1" t="n">
        <v>44048</v>
      </c>
      <c r="C2635" s="1" t="n">
        <v>45210</v>
      </c>
      <c r="D2635" t="inlineStr">
        <is>
          <t>DALARNAS LÄN</t>
        </is>
      </c>
      <c r="E2635" t="inlineStr">
        <is>
          <t>RÄTTVIK</t>
        </is>
      </c>
      <c r="G2635" t="n">
        <v>2.7</v>
      </c>
      <c r="H2635" t="n">
        <v>0</v>
      </c>
      <c r="I2635" t="n">
        <v>0</v>
      </c>
      <c r="J2635" t="n">
        <v>0</v>
      </c>
      <c r="K2635" t="n">
        <v>0</v>
      </c>
      <c r="L2635" t="n">
        <v>0</v>
      </c>
      <c r="M2635" t="n">
        <v>0</v>
      </c>
      <c r="N2635" t="n">
        <v>0</v>
      </c>
      <c r="O2635" t="n">
        <v>0</v>
      </c>
      <c r="P2635" t="n">
        <v>0</v>
      </c>
      <c r="Q2635" t="n">
        <v>0</v>
      </c>
      <c r="R2635" s="2" t="inlineStr"/>
    </row>
    <row r="2636" ht="15" customHeight="1">
      <c r="A2636" t="inlineStr">
        <is>
          <t>A 36308-2020</t>
        </is>
      </c>
      <c r="B2636" s="1" t="n">
        <v>44049</v>
      </c>
      <c r="C2636" s="1" t="n">
        <v>45210</v>
      </c>
      <c r="D2636" t="inlineStr">
        <is>
          <t>DALARNAS LÄN</t>
        </is>
      </c>
      <c r="E2636" t="inlineStr">
        <is>
          <t>MALUNG-SÄLEN</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36306-2020</t>
        </is>
      </c>
      <c r="B2637" s="1" t="n">
        <v>44049</v>
      </c>
      <c r="C2637" s="1" t="n">
        <v>45210</v>
      </c>
      <c r="D2637" t="inlineStr">
        <is>
          <t>DALARNAS LÄN</t>
        </is>
      </c>
      <c r="E2637" t="inlineStr">
        <is>
          <t>LEKSAND</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36489-2020</t>
        </is>
      </c>
      <c r="B2638" s="1" t="n">
        <v>44050</v>
      </c>
      <c r="C2638" s="1" t="n">
        <v>45210</v>
      </c>
      <c r="D2638" t="inlineStr">
        <is>
          <t>DALARNAS LÄN</t>
        </is>
      </c>
      <c r="E2638" t="inlineStr">
        <is>
          <t>VANSBRO</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36605-2020</t>
        </is>
      </c>
      <c r="B2639" s="1" t="n">
        <v>44050</v>
      </c>
      <c r="C2639" s="1" t="n">
        <v>45210</v>
      </c>
      <c r="D2639" t="inlineStr">
        <is>
          <t>DALARNAS LÄN</t>
        </is>
      </c>
      <c r="E2639" t="inlineStr">
        <is>
          <t>SMEDJEBACKEN</t>
        </is>
      </c>
      <c r="F2639" t="inlineStr">
        <is>
          <t>Bergvik skog väst AB</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36603-2020</t>
        </is>
      </c>
      <c r="B2640" s="1" t="n">
        <v>44050</v>
      </c>
      <c r="C2640" s="1" t="n">
        <v>45210</v>
      </c>
      <c r="D2640" t="inlineStr">
        <is>
          <t>DALARNAS LÄN</t>
        </is>
      </c>
      <c r="E2640" t="inlineStr">
        <is>
          <t>SMEDJEBACKEN</t>
        </is>
      </c>
      <c r="F2640" t="inlineStr">
        <is>
          <t>Bergvik skog väst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36822-2020</t>
        </is>
      </c>
      <c r="B2641" s="1" t="n">
        <v>44053</v>
      </c>
      <c r="C2641" s="1" t="n">
        <v>45210</v>
      </c>
      <c r="D2641" t="inlineStr">
        <is>
          <t>DALARNAS LÄN</t>
        </is>
      </c>
      <c r="E2641" t="inlineStr">
        <is>
          <t>ORSA</t>
        </is>
      </c>
      <c r="F2641" t="inlineStr">
        <is>
          <t>Bergvik skog öst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36936-2020</t>
        </is>
      </c>
      <c r="B2642" s="1" t="n">
        <v>44053</v>
      </c>
      <c r="C2642" s="1" t="n">
        <v>45210</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36783-2020</t>
        </is>
      </c>
      <c r="B2643" s="1" t="n">
        <v>44053</v>
      </c>
      <c r="C2643" s="1" t="n">
        <v>45210</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36910-2020</t>
        </is>
      </c>
      <c r="B2644" s="1" t="n">
        <v>44053</v>
      </c>
      <c r="C2644" s="1" t="n">
        <v>45210</v>
      </c>
      <c r="D2644" t="inlineStr">
        <is>
          <t>DALARNAS LÄN</t>
        </is>
      </c>
      <c r="E2644" t="inlineStr">
        <is>
          <t>GAGNEF</t>
        </is>
      </c>
      <c r="F2644" t="inlineStr">
        <is>
          <t>Bergvik skog väst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36890-2020</t>
        </is>
      </c>
      <c r="B2645" s="1" t="n">
        <v>44053</v>
      </c>
      <c r="C2645" s="1" t="n">
        <v>45210</v>
      </c>
      <c r="D2645" t="inlineStr">
        <is>
          <t>DALARNAS LÄN</t>
        </is>
      </c>
      <c r="E2645" t="inlineStr">
        <is>
          <t>RÄTTVIK</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36948-2020</t>
        </is>
      </c>
      <c r="B2646" s="1" t="n">
        <v>44053</v>
      </c>
      <c r="C2646" s="1" t="n">
        <v>45210</v>
      </c>
      <c r="D2646" t="inlineStr">
        <is>
          <t>DALARNAS LÄN</t>
        </is>
      </c>
      <c r="E2646" t="inlineStr">
        <is>
          <t>AVESTA</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36741-2020</t>
        </is>
      </c>
      <c r="B2647" s="1" t="n">
        <v>44053</v>
      </c>
      <c r="C2647" s="1" t="n">
        <v>45210</v>
      </c>
      <c r="D2647" t="inlineStr">
        <is>
          <t>DALARNAS LÄN</t>
        </is>
      </c>
      <c r="E2647" t="inlineStr">
        <is>
          <t>ÄLVDALEN</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36919-2020</t>
        </is>
      </c>
      <c r="B2648" s="1" t="n">
        <v>44053</v>
      </c>
      <c r="C2648" s="1" t="n">
        <v>45210</v>
      </c>
      <c r="D2648" t="inlineStr">
        <is>
          <t>DALARNAS LÄN</t>
        </is>
      </c>
      <c r="E2648" t="inlineStr">
        <is>
          <t>ORSA</t>
        </is>
      </c>
      <c r="F2648" t="inlineStr">
        <is>
          <t>Bergvik skog öst AB</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37202-2020</t>
        </is>
      </c>
      <c r="B2649" s="1" t="n">
        <v>44054</v>
      </c>
      <c r="C2649" s="1" t="n">
        <v>45210</v>
      </c>
      <c r="D2649" t="inlineStr">
        <is>
          <t>DALARNAS LÄN</t>
        </is>
      </c>
      <c r="E2649" t="inlineStr">
        <is>
          <t>RÄTTVIK</t>
        </is>
      </c>
      <c r="G2649" t="n">
        <v>3.9</v>
      </c>
      <c r="H2649" t="n">
        <v>0</v>
      </c>
      <c r="I2649" t="n">
        <v>0</v>
      </c>
      <c r="J2649" t="n">
        <v>0</v>
      </c>
      <c r="K2649" t="n">
        <v>0</v>
      </c>
      <c r="L2649" t="n">
        <v>0</v>
      </c>
      <c r="M2649" t="n">
        <v>0</v>
      </c>
      <c r="N2649" t="n">
        <v>0</v>
      </c>
      <c r="O2649" t="n">
        <v>0</v>
      </c>
      <c r="P2649" t="n">
        <v>0</v>
      </c>
      <c r="Q2649" t="n">
        <v>0</v>
      </c>
      <c r="R2649" s="2" t="inlineStr"/>
    </row>
    <row r="2650" ht="15" customHeight="1">
      <c r="A2650" t="inlineStr">
        <is>
          <t>A 37167-2020</t>
        </is>
      </c>
      <c r="B2650" s="1" t="n">
        <v>44054</v>
      </c>
      <c r="C2650" s="1" t="n">
        <v>45210</v>
      </c>
      <c r="D2650" t="inlineStr">
        <is>
          <t>DALARNAS LÄN</t>
        </is>
      </c>
      <c r="E2650" t="inlineStr">
        <is>
          <t>RÄTTVIK</t>
        </is>
      </c>
      <c r="F2650" t="inlineStr">
        <is>
          <t>Bergvik skog väst AB</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37205-2020</t>
        </is>
      </c>
      <c r="B2651" s="1" t="n">
        <v>44054</v>
      </c>
      <c r="C2651" s="1" t="n">
        <v>45210</v>
      </c>
      <c r="D2651" t="inlineStr">
        <is>
          <t>DALARNAS LÄN</t>
        </is>
      </c>
      <c r="E2651" t="inlineStr">
        <is>
          <t>RÄTTVIK</t>
        </is>
      </c>
      <c r="G2651" t="n">
        <v>4.9</v>
      </c>
      <c r="H2651" t="n">
        <v>0</v>
      </c>
      <c r="I2651" t="n">
        <v>0</v>
      </c>
      <c r="J2651" t="n">
        <v>0</v>
      </c>
      <c r="K2651" t="n">
        <v>0</v>
      </c>
      <c r="L2651" t="n">
        <v>0</v>
      </c>
      <c r="M2651" t="n">
        <v>0</v>
      </c>
      <c r="N2651" t="n">
        <v>0</v>
      </c>
      <c r="O2651" t="n">
        <v>0</v>
      </c>
      <c r="P2651" t="n">
        <v>0</v>
      </c>
      <c r="Q2651" t="n">
        <v>0</v>
      </c>
      <c r="R2651" s="2" t="inlineStr"/>
    </row>
    <row r="2652" ht="15" customHeight="1">
      <c r="A2652" t="inlineStr">
        <is>
          <t>A 37373-2020</t>
        </is>
      </c>
      <c r="B2652" s="1" t="n">
        <v>44055</v>
      </c>
      <c r="C2652" s="1" t="n">
        <v>45210</v>
      </c>
      <c r="D2652" t="inlineStr">
        <is>
          <t>DALARNAS LÄN</t>
        </is>
      </c>
      <c r="E2652" t="inlineStr">
        <is>
          <t>RÄTTVIK</t>
        </is>
      </c>
      <c r="F2652" t="inlineStr">
        <is>
          <t>Sveaskog</t>
        </is>
      </c>
      <c r="G2652" t="n">
        <v>4.6</v>
      </c>
      <c r="H2652" t="n">
        <v>0</v>
      </c>
      <c r="I2652" t="n">
        <v>0</v>
      </c>
      <c r="J2652" t="n">
        <v>0</v>
      </c>
      <c r="K2652" t="n">
        <v>0</v>
      </c>
      <c r="L2652" t="n">
        <v>0</v>
      </c>
      <c r="M2652" t="n">
        <v>0</v>
      </c>
      <c r="N2652" t="n">
        <v>0</v>
      </c>
      <c r="O2652" t="n">
        <v>0</v>
      </c>
      <c r="P2652" t="n">
        <v>0</v>
      </c>
      <c r="Q2652" t="n">
        <v>0</v>
      </c>
      <c r="R2652" s="2" t="inlineStr"/>
    </row>
    <row r="2653" ht="15" customHeight="1">
      <c r="A2653" t="inlineStr">
        <is>
          <t>A 37280-2020</t>
        </is>
      </c>
      <c r="B2653" s="1" t="n">
        <v>44055</v>
      </c>
      <c r="C2653" s="1" t="n">
        <v>45210</v>
      </c>
      <c r="D2653" t="inlineStr">
        <is>
          <t>DALARNAS LÄN</t>
        </is>
      </c>
      <c r="E2653" t="inlineStr">
        <is>
          <t>SÄTER</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37381-2020</t>
        </is>
      </c>
      <c r="B2654" s="1" t="n">
        <v>44055</v>
      </c>
      <c r="C2654" s="1" t="n">
        <v>45210</v>
      </c>
      <c r="D2654" t="inlineStr">
        <is>
          <t>DALARNAS LÄN</t>
        </is>
      </c>
      <c r="E2654" t="inlineStr">
        <is>
          <t>RÄTTVIK</t>
        </is>
      </c>
      <c r="F2654" t="inlineStr">
        <is>
          <t>Sveaskog</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37403-2020</t>
        </is>
      </c>
      <c r="B2655" s="1" t="n">
        <v>44055</v>
      </c>
      <c r="C2655" s="1" t="n">
        <v>45210</v>
      </c>
      <c r="D2655" t="inlineStr">
        <is>
          <t>DALARNAS LÄN</t>
        </is>
      </c>
      <c r="E2655" t="inlineStr">
        <is>
          <t>MORA</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37568-2020</t>
        </is>
      </c>
      <c r="B2656" s="1" t="n">
        <v>44056</v>
      </c>
      <c r="C2656" s="1" t="n">
        <v>45210</v>
      </c>
      <c r="D2656" t="inlineStr">
        <is>
          <t>DALARNAS LÄN</t>
        </is>
      </c>
      <c r="E2656" t="inlineStr">
        <is>
          <t>LEKSAND</t>
        </is>
      </c>
      <c r="G2656" t="n">
        <v>3.4</v>
      </c>
      <c r="H2656" t="n">
        <v>0</v>
      </c>
      <c r="I2656" t="n">
        <v>0</v>
      </c>
      <c r="J2656" t="n">
        <v>0</v>
      </c>
      <c r="K2656" t="n">
        <v>0</v>
      </c>
      <c r="L2656" t="n">
        <v>0</v>
      </c>
      <c r="M2656" t="n">
        <v>0</v>
      </c>
      <c r="N2656" t="n">
        <v>0</v>
      </c>
      <c r="O2656" t="n">
        <v>0</v>
      </c>
      <c r="P2656" t="n">
        <v>0</v>
      </c>
      <c r="Q2656" t="n">
        <v>0</v>
      </c>
      <c r="R2656" s="2" t="inlineStr"/>
    </row>
    <row r="2657" ht="15" customHeight="1">
      <c r="A2657" t="inlineStr">
        <is>
          <t>A 37574-2020</t>
        </is>
      </c>
      <c r="B2657" s="1" t="n">
        <v>44056</v>
      </c>
      <c r="C2657" s="1" t="n">
        <v>45210</v>
      </c>
      <c r="D2657" t="inlineStr">
        <is>
          <t>DALARNAS LÄN</t>
        </is>
      </c>
      <c r="E2657" t="inlineStr">
        <is>
          <t>MALUNG-SÄLEN</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37587-2020</t>
        </is>
      </c>
      <c r="B2658" s="1" t="n">
        <v>44056</v>
      </c>
      <c r="C2658" s="1" t="n">
        <v>45210</v>
      </c>
      <c r="D2658" t="inlineStr">
        <is>
          <t>DALARNAS LÄN</t>
        </is>
      </c>
      <c r="E2658" t="inlineStr">
        <is>
          <t>MALUNG-SÄLEN</t>
        </is>
      </c>
      <c r="G2658" t="n">
        <v>0.3</v>
      </c>
      <c r="H2658" t="n">
        <v>0</v>
      </c>
      <c r="I2658" t="n">
        <v>0</v>
      </c>
      <c r="J2658" t="n">
        <v>0</v>
      </c>
      <c r="K2658" t="n">
        <v>0</v>
      </c>
      <c r="L2658" t="n">
        <v>0</v>
      </c>
      <c r="M2658" t="n">
        <v>0</v>
      </c>
      <c r="N2658" t="n">
        <v>0</v>
      </c>
      <c r="O2658" t="n">
        <v>0</v>
      </c>
      <c r="P2658" t="n">
        <v>0</v>
      </c>
      <c r="Q2658" t="n">
        <v>0</v>
      </c>
      <c r="R2658" s="2" t="inlineStr"/>
    </row>
    <row r="2659" ht="15" customHeight="1">
      <c r="A2659" t="inlineStr">
        <is>
          <t>A 37740-2020</t>
        </is>
      </c>
      <c r="B2659" s="1" t="n">
        <v>44056</v>
      </c>
      <c r="C2659" s="1" t="n">
        <v>45210</v>
      </c>
      <c r="D2659" t="inlineStr">
        <is>
          <t>DALARNAS LÄN</t>
        </is>
      </c>
      <c r="E2659" t="inlineStr">
        <is>
          <t>MALUNG-SÄLEN</t>
        </is>
      </c>
      <c r="G2659" t="n">
        <v>22.5</v>
      </c>
      <c r="H2659" t="n">
        <v>0</v>
      </c>
      <c r="I2659" t="n">
        <v>0</v>
      </c>
      <c r="J2659" t="n">
        <v>0</v>
      </c>
      <c r="K2659" t="n">
        <v>0</v>
      </c>
      <c r="L2659" t="n">
        <v>0</v>
      </c>
      <c r="M2659" t="n">
        <v>0</v>
      </c>
      <c r="N2659" t="n">
        <v>0</v>
      </c>
      <c r="O2659" t="n">
        <v>0</v>
      </c>
      <c r="P2659" t="n">
        <v>0</v>
      </c>
      <c r="Q2659" t="n">
        <v>0</v>
      </c>
      <c r="R2659" s="2" t="inlineStr"/>
    </row>
    <row r="2660" ht="15" customHeight="1">
      <c r="A2660" t="inlineStr">
        <is>
          <t>A 37580-2020</t>
        </is>
      </c>
      <c r="B2660" s="1" t="n">
        <v>44056</v>
      </c>
      <c r="C2660" s="1" t="n">
        <v>45210</v>
      </c>
      <c r="D2660" t="inlineStr">
        <is>
          <t>DALARNAS LÄN</t>
        </is>
      </c>
      <c r="E2660" t="inlineStr">
        <is>
          <t>ÄLVDALEN</t>
        </is>
      </c>
      <c r="F2660" t="inlineStr">
        <is>
          <t>Bergvik skog väst AB</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38169-2020</t>
        </is>
      </c>
      <c r="B2661" s="1" t="n">
        <v>44057</v>
      </c>
      <c r="C2661" s="1" t="n">
        <v>45210</v>
      </c>
      <c r="D2661" t="inlineStr">
        <is>
          <t>DALARNAS LÄN</t>
        </is>
      </c>
      <c r="E2661" t="inlineStr">
        <is>
          <t>MALUNG-SÄLEN</t>
        </is>
      </c>
      <c r="F2661" t="inlineStr">
        <is>
          <t>Allmännings- och besparingsskogar</t>
        </is>
      </c>
      <c r="G2661" t="n">
        <v>32.1</v>
      </c>
      <c r="H2661" t="n">
        <v>0</v>
      </c>
      <c r="I2661" t="n">
        <v>0</v>
      </c>
      <c r="J2661" t="n">
        <v>0</v>
      </c>
      <c r="K2661" t="n">
        <v>0</v>
      </c>
      <c r="L2661" t="n">
        <v>0</v>
      </c>
      <c r="M2661" t="n">
        <v>0</v>
      </c>
      <c r="N2661" t="n">
        <v>0</v>
      </c>
      <c r="O2661" t="n">
        <v>0</v>
      </c>
      <c r="P2661" t="n">
        <v>0</v>
      </c>
      <c r="Q2661" t="n">
        <v>0</v>
      </c>
      <c r="R2661" s="2" t="inlineStr"/>
    </row>
    <row r="2662" ht="15" customHeight="1">
      <c r="A2662" t="inlineStr">
        <is>
          <t>A 37840-2020</t>
        </is>
      </c>
      <c r="B2662" s="1" t="n">
        <v>44057</v>
      </c>
      <c r="C2662" s="1" t="n">
        <v>45210</v>
      </c>
      <c r="D2662" t="inlineStr">
        <is>
          <t>DALARNAS LÄN</t>
        </is>
      </c>
      <c r="E2662" t="inlineStr">
        <is>
          <t>MORA</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38121-2020</t>
        </is>
      </c>
      <c r="B2663" s="1" t="n">
        <v>44059</v>
      </c>
      <c r="C2663" s="1" t="n">
        <v>45210</v>
      </c>
      <c r="D2663" t="inlineStr">
        <is>
          <t>DALARNAS LÄN</t>
        </is>
      </c>
      <c r="E2663" t="inlineStr">
        <is>
          <t>AVESTA</t>
        </is>
      </c>
      <c r="F2663" t="inlineStr">
        <is>
          <t>Sveaskog</t>
        </is>
      </c>
      <c r="G2663" t="n">
        <v>6.3</v>
      </c>
      <c r="H2663" t="n">
        <v>0</v>
      </c>
      <c r="I2663" t="n">
        <v>0</v>
      </c>
      <c r="J2663" t="n">
        <v>0</v>
      </c>
      <c r="K2663" t="n">
        <v>0</v>
      </c>
      <c r="L2663" t="n">
        <v>0</v>
      </c>
      <c r="M2663" t="n">
        <v>0</v>
      </c>
      <c r="N2663" t="n">
        <v>0</v>
      </c>
      <c r="O2663" t="n">
        <v>0</v>
      </c>
      <c r="P2663" t="n">
        <v>0</v>
      </c>
      <c r="Q2663" t="n">
        <v>0</v>
      </c>
      <c r="R2663" s="2" t="inlineStr"/>
    </row>
    <row r="2664" ht="15" customHeight="1">
      <c r="A2664" t="inlineStr">
        <is>
          <t>A 38442-2020</t>
        </is>
      </c>
      <c r="B2664" s="1" t="n">
        <v>44060</v>
      </c>
      <c r="C2664" s="1" t="n">
        <v>45210</v>
      </c>
      <c r="D2664" t="inlineStr">
        <is>
          <t>DALARNAS LÄN</t>
        </is>
      </c>
      <c r="E2664" t="inlineStr">
        <is>
          <t>FALUN</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38604-2020</t>
        </is>
      </c>
      <c r="B2665" s="1" t="n">
        <v>44061</v>
      </c>
      <c r="C2665" s="1" t="n">
        <v>45210</v>
      </c>
      <c r="D2665" t="inlineStr">
        <is>
          <t>DALARNAS LÄN</t>
        </is>
      </c>
      <c r="E2665" t="inlineStr">
        <is>
          <t>MALUNG-SÄLEN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38552-2020</t>
        </is>
      </c>
      <c r="B2666" s="1" t="n">
        <v>44061</v>
      </c>
      <c r="C2666" s="1" t="n">
        <v>45210</v>
      </c>
      <c r="D2666" t="inlineStr">
        <is>
          <t>DALARNAS LÄN</t>
        </is>
      </c>
      <c r="E2666" t="inlineStr">
        <is>
          <t>FALUN</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38910-2020</t>
        </is>
      </c>
      <c r="B2667" s="1" t="n">
        <v>44062</v>
      </c>
      <c r="C2667" s="1" t="n">
        <v>45210</v>
      </c>
      <c r="D2667" t="inlineStr">
        <is>
          <t>DALARNAS LÄN</t>
        </is>
      </c>
      <c r="E2667" t="inlineStr">
        <is>
          <t>MORA</t>
        </is>
      </c>
      <c r="G2667" t="n">
        <v>7.8</v>
      </c>
      <c r="H2667" t="n">
        <v>0</v>
      </c>
      <c r="I2667" t="n">
        <v>0</v>
      </c>
      <c r="J2667" t="n">
        <v>0</v>
      </c>
      <c r="K2667" t="n">
        <v>0</v>
      </c>
      <c r="L2667" t="n">
        <v>0</v>
      </c>
      <c r="M2667" t="n">
        <v>0</v>
      </c>
      <c r="N2667" t="n">
        <v>0</v>
      </c>
      <c r="O2667" t="n">
        <v>0</v>
      </c>
      <c r="P2667" t="n">
        <v>0</v>
      </c>
      <c r="Q2667" t="n">
        <v>0</v>
      </c>
      <c r="R2667" s="2" t="inlineStr"/>
    </row>
    <row r="2668" ht="15" customHeight="1">
      <c r="A2668" t="inlineStr">
        <is>
          <t>A 38971-2020</t>
        </is>
      </c>
      <c r="B2668" s="1" t="n">
        <v>44062</v>
      </c>
      <c r="C2668" s="1" t="n">
        <v>45210</v>
      </c>
      <c r="D2668" t="inlineStr">
        <is>
          <t>DALARNAS LÄN</t>
        </is>
      </c>
      <c r="E2668" t="inlineStr">
        <is>
          <t>SMEDJEBACKEN</t>
        </is>
      </c>
      <c r="F2668" t="inlineStr">
        <is>
          <t>Sveaskog</t>
        </is>
      </c>
      <c r="G2668" t="n">
        <v>4.7</v>
      </c>
      <c r="H2668" t="n">
        <v>0</v>
      </c>
      <c r="I2668" t="n">
        <v>0</v>
      </c>
      <c r="J2668" t="n">
        <v>0</v>
      </c>
      <c r="K2668" t="n">
        <v>0</v>
      </c>
      <c r="L2668" t="n">
        <v>0</v>
      </c>
      <c r="M2668" t="n">
        <v>0</v>
      </c>
      <c r="N2668" t="n">
        <v>0</v>
      </c>
      <c r="O2668" t="n">
        <v>0</v>
      </c>
      <c r="P2668" t="n">
        <v>0</v>
      </c>
      <c r="Q2668" t="n">
        <v>0</v>
      </c>
      <c r="R2668" s="2" t="inlineStr"/>
    </row>
    <row r="2669" ht="15" customHeight="1">
      <c r="A2669" t="inlineStr">
        <is>
          <t>A 38961-2020</t>
        </is>
      </c>
      <c r="B2669" s="1" t="n">
        <v>44062</v>
      </c>
      <c r="C2669" s="1" t="n">
        <v>45210</v>
      </c>
      <c r="D2669" t="inlineStr">
        <is>
          <t>DALARNAS LÄN</t>
        </is>
      </c>
      <c r="E2669" t="inlineStr">
        <is>
          <t>SÄTER</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38919-2020</t>
        </is>
      </c>
      <c r="B2670" s="1" t="n">
        <v>44062</v>
      </c>
      <c r="C2670" s="1" t="n">
        <v>45210</v>
      </c>
      <c r="D2670" t="inlineStr">
        <is>
          <t>DALARNAS LÄN</t>
        </is>
      </c>
      <c r="E2670" t="inlineStr">
        <is>
          <t>SMEDJEBACKEN</t>
        </is>
      </c>
      <c r="F2670" t="inlineStr">
        <is>
          <t>Bergvik skog väst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38986-2020</t>
        </is>
      </c>
      <c r="B2671" s="1" t="n">
        <v>44062</v>
      </c>
      <c r="C2671" s="1" t="n">
        <v>45210</v>
      </c>
      <c r="D2671" t="inlineStr">
        <is>
          <t>DALARNAS LÄN</t>
        </is>
      </c>
      <c r="E2671" t="inlineStr">
        <is>
          <t>SMEDJEBACKEN</t>
        </is>
      </c>
      <c r="F2671" t="inlineStr">
        <is>
          <t>Bergvik skog väst AB</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39203-2020</t>
        </is>
      </c>
      <c r="B2672" s="1" t="n">
        <v>44063</v>
      </c>
      <c r="C2672" s="1" t="n">
        <v>45210</v>
      </c>
      <c r="D2672" t="inlineStr">
        <is>
          <t>DALARNAS LÄN</t>
        </is>
      </c>
      <c r="E2672" t="inlineStr">
        <is>
          <t>ÄLVDALEN</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39495-2020</t>
        </is>
      </c>
      <c r="B2673" s="1" t="n">
        <v>44064</v>
      </c>
      <c r="C2673" s="1" t="n">
        <v>45210</v>
      </c>
      <c r="D2673" t="inlineStr">
        <is>
          <t>DALARNAS LÄN</t>
        </is>
      </c>
      <c r="E2673" t="inlineStr">
        <is>
          <t>AVESTA</t>
        </is>
      </c>
      <c r="F2673" t="inlineStr">
        <is>
          <t>Sveaskog</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39449-2020</t>
        </is>
      </c>
      <c r="B2674" s="1" t="n">
        <v>44064</v>
      </c>
      <c r="C2674" s="1" t="n">
        <v>45210</v>
      </c>
      <c r="D2674" t="inlineStr">
        <is>
          <t>DALARNAS LÄN</t>
        </is>
      </c>
      <c r="E2674" t="inlineStr">
        <is>
          <t>BORLÄNGE</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39605-2020</t>
        </is>
      </c>
      <c r="B2675" s="1" t="n">
        <v>44064</v>
      </c>
      <c r="C2675" s="1" t="n">
        <v>45210</v>
      </c>
      <c r="D2675" t="inlineStr">
        <is>
          <t>DALARNAS LÄN</t>
        </is>
      </c>
      <c r="E2675" t="inlineStr">
        <is>
          <t>SMEDJEBACKEN</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39720-2020</t>
        </is>
      </c>
      <c r="B2676" s="1" t="n">
        <v>44066</v>
      </c>
      <c r="C2676" s="1" t="n">
        <v>45210</v>
      </c>
      <c r="D2676" t="inlineStr">
        <is>
          <t>DALARNAS LÄN</t>
        </is>
      </c>
      <c r="E2676" t="inlineStr">
        <is>
          <t>FALUN</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39714-2020</t>
        </is>
      </c>
      <c r="B2677" s="1" t="n">
        <v>44066</v>
      </c>
      <c r="C2677" s="1" t="n">
        <v>45210</v>
      </c>
      <c r="D2677" t="inlineStr">
        <is>
          <t>DALARNAS LÄN</t>
        </is>
      </c>
      <c r="E2677" t="inlineStr">
        <is>
          <t>VANSBRO</t>
        </is>
      </c>
      <c r="G2677" t="n">
        <v>0.1</v>
      </c>
      <c r="H2677" t="n">
        <v>0</v>
      </c>
      <c r="I2677" t="n">
        <v>0</v>
      </c>
      <c r="J2677" t="n">
        <v>0</v>
      </c>
      <c r="K2677" t="n">
        <v>0</v>
      </c>
      <c r="L2677" t="n">
        <v>0</v>
      </c>
      <c r="M2677" t="n">
        <v>0</v>
      </c>
      <c r="N2677" t="n">
        <v>0</v>
      </c>
      <c r="O2677" t="n">
        <v>0</v>
      </c>
      <c r="P2677" t="n">
        <v>0</v>
      </c>
      <c r="Q2677" t="n">
        <v>0</v>
      </c>
      <c r="R2677" s="2" t="inlineStr"/>
    </row>
    <row r="2678" ht="15" customHeight="1">
      <c r="A2678" t="inlineStr">
        <is>
          <t>A 39715-2020</t>
        </is>
      </c>
      <c r="B2678" s="1" t="n">
        <v>44066</v>
      </c>
      <c r="C2678" s="1" t="n">
        <v>45210</v>
      </c>
      <c r="D2678" t="inlineStr">
        <is>
          <t>DALARNAS LÄN</t>
        </is>
      </c>
      <c r="E2678" t="inlineStr">
        <is>
          <t>VANSBRO</t>
        </is>
      </c>
      <c r="G2678" t="n">
        <v>0</v>
      </c>
      <c r="H2678" t="n">
        <v>0</v>
      </c>
      <c r="I2678" t="n">
        <v>0</v>
      </c>
      <c r="J2678" t="n">
        <v>0</v>
      </c>
      <c r="K2678" t="n">
        <v>0</v>
      </c>
      <c r="L2678" t="n">
        <v>0</v>
      </c>
      <c r="M2678" t="n">
        <v>0</v>
      </c>
      <c r="N2678" t="n">
        <v>0</v>
      </c>
      <c r="O2678" t="n">
        <v>0</v>
      </c>
      <c r="P2678" t="n">
        <v>0</v>
      </c>
      <c r="Q2678" t="n">
        <v>0</v>
      </c>
      <c r="R2678" s="2" t="inlineStr"/>
    </row>
    <row r="2679" ht="15" customHeight="1">
      <c r="A2679" t="inlineStr">
        <is>
          <t>A 39710-2020</t>
        </is>
      </c>
      <c r="B2679" s="1" t="n">
        <v>44066</v>
      </c>
      <c r="C2679" s="1" t="n">
        <v>45210</v>
      </c>
      <c r="D2679" t="inlineStr">
        <is>
          <t>DALARNAS LÄN</t>
        </is>
      </c>
      <c r="E2679" t="inlineStr">
        <is>
          <t>SMEDJEBACKEN</t>
        </is>
      </c>
      <c r="G2679" t="n">
        <v>6.4</v>
      </c>
      <c r="H2679" t="n">
        <v>0</v>
      </c>
      <c r="I2679" t="n">
        <v>0</v>
      </c>
      <c r="J2679" t="n">
        <v>0</v>
      </c>
      <c r="K2679" t="n">
        <v>0</v>
      </c>
      <c r="L2679" t="n">
        <v>0</v>
      </c>
      <c r="M2679" t="n">
        <v>0</v>
      </c>
      <c r="N2679" t="n">
        <v>0</v>
      </c>
      <c r="O2679" t="n">
        <v>0</v>
      </c>
      <c r="P2679" t="n">
        <v>0</v>
      </c>
      <c r="Q2679" t="n">
        <v>0</v>
      </c>
      <c r="R2679" s="2" t="inlineStr"/>
    </row>
    <row r="2680" ht="15" customHeight="1">
      <c r="A2680" t="inlineStr">
        <is>
          <t>A 39816-2020</t>
        </is>
      </c>
      <c r="B2680" s="1" t="n">
        <v>44067</v>
      </c>
      <c r="C2680" s="1" t="n">
        <v>45210</v>
      </c>
      <c r="D2680" t="inlineStr">
        <is>
          <t>DALARNAS LÄN</t>
        </is>
      </c>
      <c r="E2680" t="inlineStr">
        <is>
          <t>FALUN</t>
        </is>
      </c>
      <c r="G2680" t="n">
        <v>3.4</v>
      </c>
      <c r="H2680" t="n">
        <v>0</v>
      </c>
      <c r="I2680" t="n">
        <v>0</v>
      </c>
      <c r="J2680" t="n">
        <v>0</v>
      </c>
      <c r="K2680" t="n">
        <v>0</v>
      </c>
      <c r="L2680" t="n">
        <v>0</v>
      </c>
      <c r="M2680" t="n">
        <v>0</v>
      </c>
      <c r="N2680" t="n">
        <v>0</v>
      </c>
      <c r="O2680" t="n">
        <v>0</v>
      </c>
      <c r="P2680" t="n">
        <v>0</v>
      </c>
      <c r="Q2680" t="n">
        <v>0</v>
      </c>
      <c r="R2680" s="2" t="inlineStr"/>
    </row>
    <row r="2681" ht="15" customHeight="1">
      <c r="A2681" t="inlineStr">
        <is>
          <t>A 39969-2020</t>
        </is>
      </c>
      <c r="B2681" s="1" t="n">
        <v>44067</v>
      </c>
      <c r="C2681" s="1" t="n">
        <v>45210</v>
      </c>
      <c r="D2681" t="inlineStr">
        <is>
          <t>DALARNAS LÄN</t>
        </is>
      </c>
      <c r="E2681" t="inlineStr">
        <is>
          <t>ORSA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39915-2020</t>
        </is>
      </c>
      <c r="B2682" s="1" t="n">
        <v>44067</v>
      </c>
      <c r="C2682" s="1" t="n">
        <v>45210</v>
      </c>
      <c r="D2682" t="inlineStr">
        <is>
          <t>DALARNAS LÄN</t>
        </is>
      </c>
      <c r="E2682" t="inlineStr">
        <is>
          <t>LUDVIKA</t>
        </is>
      </c>
      <c r="F2682" t="inlineStr">
        <is>
          <t>Naturvårdsverket</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40809-2020</t>
        </is>
      </c>
      <c r="B2683" s="1" t="n">
        <v>44067</v>
      </c>
      <c r="C2683" s="1" t="n">
        <v>45210</v>
      </c>
      <c r="D2683" t="inlineStr">
        <is>
          <t>DALARNAS LÄN</t>
        </is>
      </c>
      <c r="E2683" t="inlineStr">
        <is>
          <t>RÄTTVIK</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39775-2020</t>
        </is>
      </c>
      <c r="B2684" s="1" t="n">
        <v>44067</v>
      </c>
      <c r="C2684" s="1" t="n">
        <v>45210</v>
      </c>
      <c r="D2684" t="inlineStr">
        <is>
          <t>DALARNAS LÄN</t>
        </is>
      </c>
      <c r="E2684" t="inlineStr">
        <is>
          <t>VANSBRO</t>
        </is>
      </c>
      <c r="G2684" t="n">
        <v>5.7</v>
      </c>
      <c r="H2684" t="n">
        <v>0</v>
      </c>
      <c r="I2684" t="n">
        <v>0</v>
      </c>
      <c r="J2684" t="n">
        <v>0</v>
      </c>
      <c r="K2684" t="n">
        <v>0</v>
      </c>
      <c r="L2684" t="n">
        <v>0</v>
      </c>
      <c r="M2684" t="n">
        <v>0</v>
      </c>
      <c r="N2684" t="n">
        <v>0</v>
      </c>
      <c r="O2684" t="n">
        <v>0</v>
      </c>
      <c r="P2684" t="n">
        <v>0</v>
      </c>
      <c r="Q2684" t="n">
        <v>0</v>
      </c>
      <c r="R2684" s="2" t="inlineStr"/>
    </row>
    <row r="2685" ht="15" customHeight="1">
      <c r="A2685" t="inlineStr">
        <is>
          <t>A 39959-2020</t>
        </is>
      </c>
      <c r="B2685" s="1" t="n">
        <v>44067</v>
      </c>
      <c r="C2685" s="1" t="n">
        <v>45210</v>
      </c>
      <c r="D2685" t="inlineStr">
        <is>
          <t>DALARNAS LÄN</t>
        </is>
      </c>
      <c r="E2685" t="inlineStr">
        <is>
          <t>MORA</t>
        </is>
      </c>
      <c r="G2685" t="n">
        <v>25.7</v>
      </c>
      <c r="H2685" t="n">
        <v>0</v>
      </c>
      <c r="I2685" t="n">
        <v>0</v>
      </c>
      <c r="J2685" t="n">
        <v>0</v>
      </c>
      <c r="K2685" t="n">
        <v>0</v>
      </c>
      <c r="L2685" t="n">
        <v>0</v>
      </c>
      <c r="M2685" t="n">
        <v>0</v>
      </c>
      <c r="N2685" t="n">
        <v>0</v>
      </c>
      <c r="O2685" t="n">
        <v>0</v>
      </c>
      <c r="P2685" t="n">
        <v>0</v>
      </c>
      <c r="Q2685" t="n">
        <v>0</v>
      </c>
      <c r="R2685" s="2" t="inlineStr"/>
    </row>
    <row r="2686" ht="15" customHeight="1">
      <c r="A2686" t="inlineStr">
        <is>
          <t>A 40287-2020</t>
        </is>
      </c>
      <c r="B2686" s="1" t="n">
        <v>44068</v>
      </c>
      <c r="C2686" s="1" t="n">
        <v>45210</v>
      </c>
      <c r="D2686" t="inlineStr">
        <is>
          <t>DALARNAS LÄN</t>
        </is>
      </c>
      <c r="E2686" t="inlineStr">
        <is>
          <t>FALUN</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40354-2020</t>
        </is>
      </c>
      <c r="B2687" s="1" t="n">
        <v>44068</v>
      </c>
      <c r="C2687" s="1" t="n">
        <v>45210</v>
      </c>
      <c r="D2687" t="inlineStr">
        <is>
          <t>DALARNAS LÄN</t>
        </is>
      </c>
      <c r="E2687" t="inlineStr">
        <is>
          <t>MALUNG-SÄLEN</t>
        </is>
      </c>
      <c r="F2687" t="inlineStr">
        <is>
          <t>Bergvik skog öst AB</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40091-2020</t>
        </is>
      </c>
      <c r="B2688" s="1" t="n">
        <v>44068</v>
      </c>
      <c r="C2688" s="1" t="n">
        <v>45210</v>
      </c>
      <c r="D2688" t="inlineStr">
        <is>
          <t>DALARNAS LÄN</t>
        </is>
      </c>
      <c r="E2688" t="inlineStr">
        <is>
          <t>SÄTER</t>
        </is>
      </c>
      <c r="G2688" t="n">
        <v>0.1</v>
      </c>
      <c r="H2688" t="n">
        <v>0</v>
      </c>
      <c r="I2688" t="n">
        <v>0</v>
      </c>
      <c r="J2688" t="n">
        <v>0</v>
      </c>
      <c r="K2688" t="n">
        <v>0</v>
      </c>
      <c r="L2688" t="n">
        <v>0</v>
      </c>
      <c r="M2688" t="n">
        <v>0</v>
      </c>
      <c r="N2688" t="n">
        <v>0</v>
      </c>
      <c r="O2688" t="n">
        <v>0</v>
      </c>
      <c r="P2688" t="n">
        <v>0</v>
      </c>
      <c r="Q2688" t="n">
        <v>0</v>
      </c>
      <c r="R2688" s="2" t="inlineStr"/>
    </row>
    <row r="2689" ht="15" customHeight="1">
      <c r="A2689" t="inlineStr">
        <is>
          <t>A 40350-2020</t>
        </is>
      </c>
      <c r="B2689" s="1" t="n">
        <v>44068</v>
      </c>
      <c r="C2689" s="1" t="n">
        <v>45210</v>
      </c>
      <c r="D2689" t="inlineStr">
        <is>
          <t>DALARNAS LÄN</t>
        </is>
      </c>
      <c r="E2689" t="inlineStr">
        <is>
          <t>MALUNG-SÄLEN</t>
        </is>
      </c>
      <c r="F2689" t="inlineStr">
        <is>
          <t>Bergvik skog öst AB</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40504-2020</t>
        </is>
      </c>
      <c r="B2690" s="1" t="n">
        <v>44069</v>
      </c>
      <c r="C2690" s="1" t="n">
        <v>45210</v>
      </c>
      <c r="D2690" t="inlineStr">
        <is>
          <t>DALARNAS LÄN</t>
        </is>
      </c>
      <c r="E2690" t="inlineStr">
        <is>
          <t>LUDVIKA</t>
        </is>
      </c>
      <c r="F2690" t="inlineStr">
        <is>
          <t>Bergvik skog väst AB</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40472-2020</t>
        </is>
      </c>
      <c r="B2691" s="1" t="n">
        <v>44069</v>
      </c>
      <c r="C2691" s="1" t="n">
        <v>45210</v>
      </c>
      <c r="D2691" t="inlineStr">
        <is>
          <t>DALARNAS LÄN</t>
        </is>
      </c>
      <c r="E2691" t="inlineStr">
        <is>
          <t>LUDVIKA</t>
        </is>
      </c>
      <c r="F2691" t="inlineStr">
        <is>
          <t>Bergvik skog väst AB</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40628-2020</t>
        </is>
      </c>
      <c r="B2692" s="1" t="n">
        <v>44069</v>
      </c>
      <c r="C2692" s="1" t="n">
        <v>45210</v>
      </c>
      <c r="D2692" t="inlineStr">
        <is>
          <t>DALARNAS LÄN</t>
        </is>
      </c>
      <c r="E2692" t="inlineStr">
        <is>
          <t>VANSBRO</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40668-2020</t>
        </is>
      </c>
      <c r="B2693" s="1" t="n">
        <v>44069</v>
      </c>
      <c r="C2693" s="1" t="n">
        <v>45210</v>
      </c>
      <c r="D2693" t="inlineStr">
        <is>
          <t>DALARNAS LÄN</t>
        </is>
      </c>
      <c r="E2693" t="inlineStr">
        <is>
          <t>FALUN</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40898-2020</t>
        </is>
      </c>
      <c r="B2694" s="1" t="n">
        <v>44070</v>
      </c>
      <c r="C2694" s="1" t="n">
        <v>45210</v>
      </c>
      <c r="D2694" t="inlineStr">
        <is>
          <t>DALARNAS LÄN</t>
        </is>
      </c>
      <c r="E2694" t="inlineStr">
        <is>
          <t>SÄTER</t>
        </is>
      </c>
      <c r="G2694" t="n">
        <v>2.2</v>
      </c>
      <c r="H2694" t="n">
        <v>0</v>
      </c>
      <c r="I2694" t="n">
        <v>0</v>
      </c>
      <c r="J2694" t="n">
        <v>0</v>
      </c>
      <c r="K2694" t="n">
        <v>0</v>
      </c>
      <c r="L2694" t="n">
        <v>0</v>
      </c>
      <c r="M2694" t="n">
        <v>0</v>
      </c>
      <c r="N2694" t="n">
        <v>0</v>
      </c>
      <c r="O2694" t="n">
        <v>0</v>
      </c>
      <c r="P2694" t="n">
        <v>0</v>
      </c>
      <c r="Q2694" t="n">
        <v>0</v>
      </c>
      <c r="R2694" s="2" t="inlineStr"/>
    </row>
    <row r="2695" ht="15" customHeight="1">
      <c r="A2695" t="inlineStr">
        <is>
          <t>A 40977-2020</t>
        </is>
      </c>
      <c r="B2695" s="1" t="n">
        <v>44070</v>
      </c>
      <c r="C2695" s="1" t="n">
        <v>45210</v>
      </c>
      <c r="D2695" t="inlineStr">
        <is>
          <t>DALARNAS LÄN</t>
        </is>
      </c>
      <c r="E2695" t="inlineStr">
        <is>
          <t>SÄTER</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40865-2020</t>
        </is>
      </c>
      <c r="B2696" s="1" t="n">
        <v>44070</v>
      </c>
      <c r="C2696" s="1" t="n">
        <v>45210</v>
      </c>
      <c r="D2696" t="inlineStr">
        <is>
          <t>DALARNAS LÄN</t>
        </is>
      </c>
      <c r="E2696" t="inlineStr">
        <is>
          <t>HEDEMORA</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40978-2020</t>
        </is>
      </c>
      <c r="B2697" s="1" t="n">
        <v>44070</v>
      </c>
      <c r="C2697" s="1" t="n">
        <v>45210</v>
      </c>
      <c r="D2697" t="inlineStr">
        <is>
          <t>DALARNAS LÄN</t>
        </is>
      </c>
      <c r="E2697" t="inlineStr">
        <is>
          <t>LUDVIKA</t>
        </is>
      </c>
      <c r="F2697" t="inlineStr">
        <is>
          <t>Bergvik skog väst AB</t>
        </is>
      </c>
      <c r="G2697" t="n">
        <v>9.800000000000001</v>
      </c>
      <c r="H2697" t="n">
        <v>0</v>
      </c>
      <c r="I2697" t="n">
        <v>0</v>
      </c>
      <c r="J2697" t="n">
        <v>0</v>
      </c>
      <c r="K2697" t="n">
        <v>0</v>
      </c>
      <c r="L2697" t="n">
        <v>0</v>
      </c>
      <c r="M2697" t="n">
        <v>0</v>
      </c>
      <c r="N2697" t="n">
        <v>0</v>
      </c>
      <c r="O2697" t="n">
        <v>0</v>
      </c>
      <c r="P2697" t="n">
        <v>0</v>
      </c>
      <c r="Q2697" t="n">
        <v>0</v>
      </c>
      <c r="R2697" s="2" t="inlineStr"/>
    </row>
    <row r="2698" ht="15" customHeight="1">
      <c r="A2698" t="inlineStr">
        <is>
          <t>A 40844-2020</t>
        </is>
      </c>
      <c r="B2698" s="1" t="n">
        <v>44070</v>
      </c>
      <c r="C2698" s="1" t="n">
        <v>45210</v>
      </c>
      <c r="D2698" t="inlineStr">
        <is>
          <t>DALARNAS LÄN</t>
        </is>
      </c>
      <c r="E2698" t="inlineStr">
        <is>
          <t>SÄTER</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40868-2020</t>
        </is>
      </c>
      <c r="B2699" s="1" t="n">
        <v>44070</v>
      </c>
      <c r="C2699" s="1" t="n">
        <v>45210</v>
      </c>
      <c r="D2699" t="inlineStr">
        <is>
          <t>DALARNAS LÄN</t>
        </is>
      </c>
      <c r="E2699" t="inlineStr">
        <is>
          <t>HEDEMORA</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40974-2020</t>
        </is>
      </c>
      <c r="B2700" s="1" t="n">
        <v>44070</v>
      </c>
      <c r="C2700" s="1" t="n">
        <v>45210</v>
      </c>
      <c r="D2700" t="inlineStr">
        <is>
          <t>DALARNAS LÄN</t>
        </is>
      </c>
      <c r="E2700" t="inlineStr">
        <is>
          <t>SÄTER</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41079-2020</t>
        </is>
      </c>
      <c r="B2701" s="1" t="n">
        <v>44071</v>
      </c>
      <c r="C2701" s="1" t="n">
        <v>45210</v>
      </c>
      <c r="D2701" t="inlineStr">
        <is>
          <t>DALARNAS LÄN</t>
        </is>
      </c>
      <c r="E2701" t="inlineStr">
        <is>
          <t>ORSA</t>
        </is>
      </c>
      <c r="G2701" t="n">
        <v>2.2</v>
      </c>
      <c r="H2701" t="n">
        <v>0</v>
      </c>
      <c r="I2701" t="n">
        <v>0</v>
      </c>
      <c r="J2701" t="n">
        <v>0</v>
      </c>
      <c r="K2701" t="n">
        <v>0</v>
      </c>
      <c r="L2701" t="n">
        <v>0</v>
      </c>
      <c r="M2701" t="n">
        <v>0</v>
      </c>
      <c r="N2701" t="n">
        <v>0</v>
      </c>
      <c r="O2701" t="n">
        <v>0</v>
      </c>
      <c r="P2701" t="n">
        <v>0</v>
      </c>
      <c r="Q2701" t="n">
        <v>0</v>
      </c>
      <c r="R2701" s="2" t="inlineStr"/>
    </row>
    <row r="2702" ht="15" customHeight="1">
      <c r="A2702" t="inlineStr">
        <is>
          <t>A 42116-2020</t>
        </is>
      </c>
      <c r="B2702" s="1" t="n">
        <v>44071</v>
      </c>
      <c r="C2702" s="1" t="n">
        <v>45210</v>
      </c>
      <c r="D2702" t="inlineStr">
        <is>
          <t>DALARNAS LÄN</t>
        </is>
      </c>
      <c r="E2702" t="inlineStr">
        <is>
          <t>MALUNG-SÄLEN</t>
        </is>
      </c>
      <c r="F2702" t="inlineStr">
        <is>
          <t>Allmännings- och besparingsskogar</t>
        </is>
      </c>
      <c r="G2702" t="n">
        <v>8.300000000000001</v>
      </c>
      <c r="H2702" t="n">
        <v>0</v>
      </c>
      <c r="I2702" t="n">
        <v>0</v>
      </c>
      <c r="J2702" t="n">
        <v>0</v>
      </c>
      <c r="K2702" t="n">
        <v>0</v>
      </c>
      <c r="L2702" t="n">
        <v>0</v>
      </c>
      <c r="M2702" t="n">
        <v>0</v>
      </c>
      <c r="N2702" t="n">
        <v>0</v>
      </c>
      <c r="O2702" t="n">
        <v>0</v>
      </c>
      <c r="P2702" t="n">
        <v>0</v>
      </c>
      <c r="Q2702" t="n">
        <v>0</v>
      </c>
      <c r="R2702" s="2" t="inlineStr"/>
    </row>
    <row r="2703" ht="15" customHeight="1">
      <c r="A2703" t="inlineStr">
        <is>
          <t>A 41200-2020</t>
        </is>
      </c>
      <c r="B2703" s="1" t="n">
        <v>44071</v>
      </c>
      <c r="C2703" s="1" t="n">
        <v>45210</v>
      </c>
      <c r="D2703" t="inlineStr">
        <is>
          <t>DALARNAS LÄN</t>
        </is>
      </c>
      <c r="E2703" t="inlineStr">
        <is>
          <t>LEKSAND</t>
        </is>
      </c>
      <c r="F2703" t="inlineStr">
        <is>
          <t>Bergvik skog väst AB</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41093-2020</t>
        </is>
      </c>
      <c r="B2704" s="1" t="n">
        <v>44071</v>
      </c>
      <c r="C2704" s="1" t="n">
        <v>45210</v>
      </c>
      <c r="D2704" t="inlineStr">
        <is>
          <t>DALARNAS LÄN</t>
        </is>
      </c>
      <c r="E2704" t="inlineStr">
        <is>
          <t>LEKSAND</t>
        </is>
      </c>
      <c r="F2704" t="inlineStr">
        <is>
          <t>Bergvik skog väst AB</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41432-2020</t>
        </is>
      </c>
      <c r="B2705" s="1" t="n">
        <v>44073</v>
      </c>
      <c r="C2705" s="1" t="n">
        <v>45210</v>
      </c>
      <c r="D2705" t="inlineStr">
        <is>
          <t>DALARNAS LÄN</t>
        </is>
      </c>
      <c r="E2705" t="inlineStr">
        <is>
          <t>LEKSAND</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41567-2020</t>
        </is>
      </c>
      <c r="B2706" s="1" t="n">
        <v>44074</v>
      </c>
      <c r="C2706" s="1" t="n">
        <v>45210</v>
      </c>
      <c r="D2706" t="inlineStr">
        <is>
          <t>DALARNAS LÄN</t>
        </is>
      </c>
      <c r="E2706" t="inlineStr">
        <is>
          <t>SÄTER</t>
        </is>
      </c>
      <c r="F2706" t="inlineStr">
        <is>
          <t>Bergvik skog väst AB</t>
        </is>
      </c>
      <c r="G2706" t="n">
        <v>12.3</v>
      </c>
      <c r="H2706" t="n">
        <v>0</v>
      </c>
      <c r="I2706" t="n">
        <v>0</v>
      </c>
      <c r="J2706" t="n">
        <v>0</v>
      </c>
      <c r="K2706" t="n">
        <v>0</v>
      </c>
      <c r="L2706" t="n">
        <v>0</v>
      </c>
      <c r="M2706" t="n">
        <v>0</v>
      </c>
      <c r="N2706" t="n">
        <v>0</v>
      </c>
      <c r="O2706" t="n">
        <v>0</v>
      </c>
      <c r="P2706" t="n">
        <v>0</v>
      </c>
      <c r="Q2706" t="n">
        <v>0</v>
      </c>
      <c r="R2706" s="2" t="inlineStr"/>
    </row>
    <row r="2707" ht="15" customHeight="1">
      <c r="A2707" t="inlineStr">
        <is>
          <t>A 42130-2020</t>
        </is>
      </c>
      <c r="B2707" s="1" t="n">
        <v>44074</v>
      </c>
      <c r="C2707" s="1" t="n">
        <v>45210</v>
      </c>
      <c r="D2707" t="inlineStr">
        <is>
          <t>DALARNAS LÄN</t>
        </is>
      </c>
      <c r="E2707" t="inlineStr">
        <is>
          <t>RÄTTVIK</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41831-2020</t>
        </is>
      </c>
      <c r="B2708" s="1" t="n">
        <v>44074</v>
      </c>
      <c r="C2708" s="1" t="n">
        <v>45210</v>
      </c>
      <c r="D2708" t="inlineStr">
        <is>
          <t>DALARNAS LÄN</t>
        </is>
      </c>
      <c r="E2708" t="inlineStr">
        <is>
          <t>ÄLVDALEN</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42362-2020</t>
        </is>
      </c>
      <c r="B2709" s="1" t="n">
        <v>44074</v>
      </c>
      <c r="C2709" s="1" t="n">
        <v>45210</v>
      </c>
      <c r="D2709" t="inlineStr">
        <is>
          <t>DALARNAS LÄN</t>
        </is>
      </c>
      <c r="E2709" t="inlineStr">
        <is>
          <t>MORA</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41768-2020</t>
        </is>
      </c>
      <c r="B2710" s="1" t="n">
        <v>44074</v>
      </c>
      <c r="C2710" s="1" t="n">
        <v>45210</v>
      </c>
      <c r="D2710" t="inlineStr">
        <is>
          <t>DALARNAS LÄN</t>
        </is>
      </c>
      <c r="E2710" t="inlineStr">
        <is>
          <t>MORA</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41814-2020</t>
        </is>
      </c>
      <c r="B2711" s="1" t="n">
        <v>44074</v>
      </c>
      <c r="C2711" s="1" t="n">
        <v>45210</v>
      </c>
      <c r="D2711" t="inlineStr">
        <is>
          <t>DALARNAS LÄN</t>
        </is>
      </c>
      <c r="E2711" t="inlineStr">
        <is>
          <t>ÄLVDALEN</t>
        </is>
      </c>
      <c r="G2711" t="n">
        <v>0.3</v>
      </c>
      <c r="H2711" t="n">
        <v>0</v>
      </c>
      <c r="I2711" t="n">
        <v>0</v>
      </c>
      <c r="J2711" t="n">
        <v>0</v>
      </c>
      <c r="K2711" t="n">
        <v>0</v>
      </c>
      <c r="L2711" t="n">
        <v>0</v>
      </c>
      <c r="M2711" t="n">
        <v>0</v>
      </c>
      <c r="N2711" t="n">
        <v>0</v>
      </c>
      <c r="O2711" t="n">
        <v>0</v>
      </c>
      <c r="P2711" t="n">
        <v>0</v>
      </c>
      <c r="Q2711" t="n">
        <v>0</v>
      </c>
      <c r="R2711" s="2" t="inlineStr"/>
    </row>
    <row r="2712" ht="15" customHeight="1">
      <c r="A2712" t="inlineStr">
        <is>
          <t>A 42112-2020</t>
        </is>
      </c>
      <c r="B2712" s="1" t="n">
        <v>44074</v>
      </c>
      <c r="C2712" s="1" t="n">
        <v>45210</v>
      </c>
      <c r="D2712" t="inlineStr">
        <is>
          <t>DALARNAS LÄN</t>
        </is>
      </c>
      <c r="E2712" t="inlineStr">
        <is>
          <t>RÄTTVIK</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42429-2020</t>
        </is>
      </c>
      <c r="B2713" s="1" t="n">
        <v>44075</v>
      </c>
      <c r="C2713" s="1" t="n">
        <v>45210</v>
      </c>
      <c r="D2713" t="inlineStr">
        <is>
          <t>DALARNAS LÄN</t>
        </is>
      </c>
      <c r="E2713" t="inlineStr">
        <is>
          <t>SMEDJEBACKEN</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42029-2020</t>
        </is>
      </c>
      <c r="B2714" s="1" t="n">
        <v>44075</v>
      </c>
      <c r="C2714" s="1" t="n">
        <v>45210</v>
      </c>
      <c r="D2714" t="inlineStr">
        <is>
          <t>DALARNAS LÄN</t>
        </is>
      </c>
      <c r="E2714" t="inlineStr">
        <is>
          <t>AVESTA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42426-2020</t>
        </is>
      </c>
      <c r="B2715" s="1" t="n">
        <v>44075</v>
      </c>
      <c r="C2715" s="1" t="n">
        <v>45210</v>
      </c>
      <c r="D2715" t="inlineStr">
        <is>
          <t>DALARNAS LÄN</t>
        </is>
      </c>
      <c r="E2715" t="inlineStr">
        <is>
          <t>SMEDJEBACKEN</t>
        </is>
      </c>
      <c r="G2715" t="n">
        <v>7.3</v>
      </c>
      <c r="H2715" t="n">
        <v>0</v>
      </c>
      <c r="I2715" t="n">
        <v>0</v>
      </c>
      <c r="J2715" t="n">
        <v>0</v>
      </c>
      <c r="K2715" t="n">
        <v>0</v>
      </c>
      <c r="L2715" t="n">
        <v>0</v>
      </c>
      <c r="M2715" t="n">
        <v>0</v>
      </c>
      <c r="N2715" t="n">
        <v>0</v>
      </c>
      <c r="O2715" t="n">
        <v>0</v>
      </c>
      <c r="P2715" t="n">
        <v>0</v>
      </c>
      <c r="Q2715" t="n">
        <v>0</v>
      </c>
      <c r="R2715" s="2" t="inlineStr"/>
    </row>
    <row r="2716" ht="15" customHeight="1">
      <c r="A2716" t="inlineStr">
        <is>
          <t>A 42377-2020</t>
        </is>
      </c>
      <c r="B2716" s="1" t="n">
        <v>44076</v>
      </c>
      <c r="C2716" s="1" t="n">
        <v>45210</v>
      </c>
      <c r="D2716" t="inlineStr">
        <is>
          <t>DALARNAS LÄN</t>
        </is>
      </c>
      <c r="E2716" t="inlineStr">
        <is>
          <t>MORA</t>
        </is>
      </c>
      <c r="F2716" t="inlineStr">
        <is>
          <t>Bergvik skog väst AB</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43277-2020</t>
        </is>
      </c>
      <c r="B2717" s="1" t="n">
        <v>44076</v>
      </c>
      <c r="C2717" s="1" t="n">
        <v>45210</v>
      </c>
      <c r="D2717" t="inlineStr">
        <is>
          <t>DALARNAS LÄN</t>
        </is>
      </c>
      <c r="E2717" t="inlineStr">
        <is>
          <t>SMEDJEBACKEN</t>
        </is>
      </c>
      <c r="F2717" t="inlineStr">
        <is>
          <t>Bergvik skog väst AB</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42433-2020</t>
        </is>
      </c>
      <c r="B2718" s="1" t="n">
        <v>44076</v>
      </c>
      <c r="C2718" s="1" t="n">
        <v>45210</v>
      </c>
      <c r="D2718" t="inlineStr">
        <is>
          <t>DALARNAS LÄN</t>
        </is>
      </c>
      <c r="E2718" t="inlineStr">
        <is>
          <t>GAGNEF</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43214-2020</t>
        </is>
      </c>
      <c r="B2719" s="1" t="n">
        <v>44076</v>
      </c>
      <c r="C2719" s="1" t="n">
        <v>45210</v>
      </c>
      <c r="D2719" t="inlineStr">
        <is>
          <t>DALARNAS LÄN</t>
        </is>
      </c>
      <c r="E2719" t="inlineStr">
        <is>
          <t>SMEDJEBACKEN</t>
        </is>
      </c>
      <c r="F2719" t="inlineStr">
        <is>
          <t>Bergvik skog väst AB</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42625-2020</t>
        </is>
      </c>
      <c r="B2720" s="1" t="n">
        <v>44077</v>
      </c>
      <c r="C2720" s="1" t="n">
        <v>45210</v>
      </c>
      <c r="D2720" t="inlineStr">
        <is>
          <t>DALARNAS LÄN</t>
        </is>
      </c>
      <c r="E2720" t="inlineStr">
        <is>
          <t>FALUN</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42482-2020</t>
        </is>
      </c>
      <c r="B2721" s="1" t="n">
        <v>44077</v>
      </c>
      <c r="C2721" s="1" t="n">
        <v>45210</v>
      </c>
      <c r="D2721" t="inlineStr">
        <is>
          <t>DALARNAS LÄN</t>
        </is>
      </c>
      <c r="E2721" t="inlineStr">
        <is>
          <t>SÄTER</t>
        </is>
      </c>
      <c r="F2721" t="inlineStr">
        <is>
          <t>Bergvik skog väst AB</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43363-2020</t>
        </is>
      </c>
      <c r="B2722" s="1" t="n">
        <v>44077</v>
      </c>
      <c r="C2722" s="1" t="n">
        <v>45210</v>
      </c>
      <c r="D2722" t="inlineStr">
        <is>
          <t>DALARNAS LÄN</t>
        </is>
      </c>
      <c r="E2722" t="inlineStr">
        <is>
          <t>RÄTTVIK</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42575-2020</t>
        </is>
      </c>
      <c r="B2723" s="1" t="n">
        <v>44077</v>
      </c>
      <c r="C2723" s="1" t="n">
        <v>45210</v>
      </c>
      <c r="D2723" t="inlineStr">
        <is>
          <t>DALARNAS LÄN</t>
        </is>
      </c>
      <c r="E2723" t="inlineStr">
        <is>
          <t>GAGNEF</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42861-2020</t>
        </is>
      </c>
      <c r="B2724" s="1" t="n">
        <v>44078</v>
      </c>
      <c r="C2724" s="1" t="n">
        <v>45210</v>
      </c>
      <c r="D2724" t="inlineStr">
        <is>
          <t>DALARNAS LÄN</t>
        </is>
      </c>
      <c r="E2724" t="inlineStr">
        <is>
          <t>ÄLVDALEN</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42890-2020</t>
        </is>
      </c>
      <c r="B2725" s="1" t="n">
        <v>44078</v>
      </c>
      <c r="C2725" s="1" t="n">
        <v>45210</v>
      </c>
      <c r="D2725" t="inlineStr">
        <is>
          <t>DALARNAS LÄN</t>
        </is>
      </c>
      <c r="E2725" t="inlineStr">
        <is>
          <t>LEKSAND</t>
        </is>
      </c>
      <c r="F2725" t="inlineStr">
        <is>
          <t>Bergvik skog väst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43056-2020</t>
        </is>
      </c>
      <c r="B2726" s="1" t="n">
        <v>44078</v>
      </c>
      <c r="C2726" s="1" t="n">
        <v>45210</v>
      </c>
      <c r="D2726" t="inlineStr">
        <is>
          <t>DALARNAS LÄN</t>
        </is>
      </c>
      <c r="E2726" t="inlineStr">
        <is>
          <t>AVESTA</t>
        </is>
      </c>
      <c r="F2726" t="inlineStr">
        <is>
          <t>Sveaskog</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42806-2020</t>
        </is>
      </c>
      <c r="B2727" s="1" t="n">
        <v>44078</v>
      </c>
      <c r="C2727" s="1" t="n">
        <v>45210</v>
      </c>
      <c r="D2727" t="inlineStr">
        <is>
          <t>DALARNAS LÄN</t>
        </is>
      </c>
      <c r="E2727" t="inlineStr">
        <is>
          <t>RÄTTVIK</t>
        </is>
      </c>
      <c r="F2727" t="inlineStr">
        <is>
          <t>Sveaskog</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42874-2020</t>
        </is>
      </c>
      <c r="B2728" s="1" t="n">
        <v>44078</v>
      </c>
      <c r="C2728" s="1" t="n">
        <v>45210</v>
      </c>
      <c r="D2728" t="inlineStr">
        <is>
          <t>DALARNAS LÄN</t>
        </is>
      </c>
      <c r="E2728" t="inlineStr">
        <is>
          <t>GAGNEF</t>
        </is>
      </c>
      <c r="F2728" t="inlineStr">
        <is>
          <t>Bergvik skog väst AB</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42985-2020</t>
        </is>
      </c>
      <c r="B2729" s="1" t="n">
        <v>44078</v>
      </c>
      <c r="C2729" s="1" t="n">
        <v>45210</v>
      </c>
      <c r="D2729" t="inlineStr">
        <is>
          <t>DALARNAS LÄN</t>
        </is>
      </c>
      <c r="E2729" t="inlineStr">
        <is>
          <t>MALUNG-SÄLEN</t>
        </is>
      </c>
      <c r="F2729" t="inlineStr">
        <is>
          <t>Bergvik skog öst AB</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43031-2020</t>
        </is>
      </c>
      <c r="B2730" s="1" t="n">
        <v>44078</v>
      </c>
      <c r="C2730" s="1" t="n">
        <v>45210</v>
      </c>
      <c r="D2730" t="inlineStr">
        <is>
          <t>DALARNAS LÄN</t>
        </is>
      </c>
      <c r="E2730" t="inlineStr">
        <is>
          <t>FALUN</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42828-2020</t>
        </is>
      </c>
      <c r="B2731" s="1" t="n">
        <v>44078</v>
      </c>
      <c r="C2731" s="1" t="n">
        <v>45210</v>
      </c>
      <c r="D2731" t="inlineStr">
        <is>
          <t>DALARNAS LÄN</t>
        </is>
      </c>
      <c r="E2731" t="inlineStr">
        <is>
          <t>RÄTTVIK</t>
        </is>
      </c>
      <c r="F2731" t="inlineStr">
        <is>
          <t>Sveaskog</t>
        </is>
      </c>
      <c r="G2731" t="n">
        <v>13.1</v>
      </c>
      <c r="H2731" t="n">
        <v>0</v>
      </c>
      <c r="I2731" t="n">
        <v>0</v>
      </c>
      <c r="J2731" t="n">
        <v>0</v>
      </c>
      <c r="K2731" t="n">
        <v>0</v>
      </c>
      <c r="L2731" t="n">
        <v>0</v>
      </c>
      <c r="M2731" t="n">
        <v>0</v>
      </c>
      <c r="N2731" t="n">
        <v>0</v>
      </c>
      <c r="O2731" t="n">
        <v>0</v>
      </c>
      <c r="P2731" t="n">
        <v>0</v>
      </c>
      <c r="Q2731" t="n">
        <v>0</v>
      </c>
      <c r="R2731" s="2" t="inlineStr"/>
    </row>
    <row r="2732" ht="15" customHeight="1">
      <c r="A2732" t="inlineStr">
        <is>
          <t>A 42929-2020</t>
        </is>
      </c>
      <c r="B2732" s="1" t="n">
        <v>44078</v>
      </c>
      <c r="C2732" s="1" t="n">
        <v>45210</v>
      </c>
      <c r="D2732" t="inlineStr">
        <is>
          <t>DALARNAS LÄN</t>
        </is>
      </c>
      <c r="E2732" t="inlineStr">
        <is>
          <t>HEDEMORA</t>
        </is>
      </c>
      <c r="F2732" t="inlineStr">
        <is>
          <t>Sveaskog</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43284-2020</t>
        </is>
      </c>
      <c r="B2733" s="1" t="n">
        <v>44081</v>
      </c>
      <c r="C2733" s="1" t="n">
        <v>45210</v>
      </c>
      <c r="D2733" t="inlineStr">
        <is>
          <t>DALARNAS LÄN</t>
        </is>
      </c>
      <c r="E2733" t="inlineStr">
        <is>
          <t>MORA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43296-2020</t>
        </is>
      </c>
      <c r="B2734" s="1" t="n">
        <v>44081</v>
      </c>
      <c r="C2734" s="1" t="n">
        <v>45210</v>
      </c>
      <c r="D2734" t="inlineStr">
        <is>
          <t>DALARNAS LÄN</t>
        </is>
      </c>
      <c r="E2734" t="inlineStr">
        <is>
          <t>GAGNEF</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43162-2020</t>
        </is>
      </c>
      <c r="B2735" s="1" t="n">
        <v>44081</v>
      </c>
      <c r="C2735" s="1" t="n">
        <v>45210</v>
      </c>
      <c r="D2735" t="inlineStr">
        <is>
          <t>DALARNAS LÄN</t>
        </is>
      </c>
      <c r="E2735" t="inlineStr">
        <is>
          <t>LUDVIKA</t>
        </is>
      </c>
      <c r="F2735" t="inlineStr">
        <is>
          <t>Bergvik skog väst AB</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43234-2020</t>
        </is>
      </c>
      <c r="B2736" s="1" t="n">
        <v>44081</v>
      </c>
      <c r="C2736" s="1" t="n">
        <v>45210</v>
      </c>
      <c r="D2736" t="inlineStr">
        <is>
          <t>DALARNAS LÄN</t>
        </is>
      </c>
      <c r="E2736" t="inlineStr">
        <is>
          <t>SÄTER</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43301-2020</t>
        </is>
      </c>
      <c r="B2737" s="1" t="n">
        <v>44081</v>
      </c>
      <c r="C2737" s="1" t="n">
        <v>45210</v>
      </c>
      <c r="D2737" t="inlineStr">
        <is>
          <t>DALARNAS LÄN</t>
        </is>
      </c>
      <c r="E2737" t="inlineStr">
        <is>
          <t>GAGNEF</t>
        </is>
      </c>
      <c r="F2737" t="inlineStr">
        <is>
          <t>Bergvik skog väst AB</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43488-2020</t>
        </is>
      </c>
      <c r="B2738" s="1" t="n">
        <v>44082</v>
      </c>
      <c r="C2738" s="1" t="n">
        <v>45210</v>
      </c>
      <c r="D2738" t="inlineStr">
        <is>
          <t>DALARNAS LÄN</t>
        </is>
      </c>
      <c r="E2738" t="inlineStr">
        <is>
          <t>AVESTA</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43799-2020</t>
        </is>
      </c>
      <c r="B2739" s="1" t="n">
        <v>44082</v>
      </c>
      <c r="C2739" s="1" t="n">
        <v>45210</v>
      </c>
      <c r="D2739" t="inlineStr">
        <is>
          <t>DALARNAS LÄN</t>
        </is>
      </c>
      <c r="E2739" t="inlineStr">
        <is>
          <t>AVESTA</t>
        </is>
      </c>
      <c r="F2739" t="inlineStr">
        <is>
          <t>Sveaskog</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44706-2020</t>
        </is>
      </c>
      <c r="B2740" s="1" t="n">
        <v>44082</v>
      </c>
      <c r="C2740" s="1" t="n">
        <v>45210</v>
      </c>
      <c r="D2740" t="inlineStr">
        <is>
          <t>DALARNAS LÄN</t>
        </is>
      </c>
      <c r="E2740" t="inlineStr">
        <is>
          <t>RÄTTVIK</t>
        </is>
      </c>
      <c r="G2740" t="n">
        <v>10.6</v>
      </c>
      <c r="H2740" t="n">
        <v>0</v>
      </c>
      <c r="I2740" t="n">
        <v>0</v>
      </c>
      <c r="J2740" t="n">
        <v>0</v>
      </c>
      <c r="K2740" t="n">
        <v>0</v>
      </c>
      <c r="L2740" t="n">
        <v>0</v>
      </c>
      <c r="M2740" t="n">
        <v>0</v>
      </c>
      <c r="N2740" t="n">
        <v>0</v>
      </c>
      <c r="O2740" t="n">
        <v>0</v>
      </c>
      <c r="P2740" t="n">
        <v>0</v>
      </c>
      <c r="Q2740" t="n">
        <v>0</v>
      </c>
      <c r="R2740" s="2" t="inlineStr"/>
    </row>
    <row r="2741" ht="15" customHeight="1">
      <c r="A2741" t="inlineStr">
        <is>
          <t>A 44098-2020</t>
        </is>
      </c>
      <c r="B2741" s="1" t="n">
        <v>44083</v>
      </c>
      <c r="C2741" s="1" t="n">
        <v>45210</v>
      </c>
      <c r="D2741" t="inlineStr">
        <is>
          <t>DALARNAS LÄN</t>
        </is>
      </c>
      <c r="E2741" t="inlineStr">
        <is>
          <t>HEDEMORA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44110-2020</t>
        </is>
      </c>
      <c r="B2742" s="1" t="n">
        <v>44083</v>
      </c>
      <c r="C2742" s="1" t="n">
        <v>45210</v>
      </c>
      <c r="D2742" t="inlineStr">
        <is>
          <t>DALARNAS LÄN</t>
        </is>
      </c>
      <c r="E2742" t="inlineStr">
        <is>
          <t>HEDEMORA</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44240-2020</t>
        </is>
      </c>
      <c r="B2743" s="1" t="n">
        <v>44084</v>
      </c>
      <c r="C2743" s="1" t="n">
        <v>45210</v>
      </c>
      <c r="D2743" t="inlineStr">
        <is>
          <t>DALARNAS LÄN</t>
        </is>
      </c>
      <c r="E2743" t="inlineStr">
        <is>
          <t>AVESTA</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44265-2020</t>
        </is>
      </c>
      <c r="B2744" s="1" t="n">
        <v>44084</v>
      </c>
      <c r="C2744" s="1" t="n">
        <v>45210</v>
      </c>
      <c r="D2744" t="inlineStr">
        <is>
          <t>DALARNAS LÄN</t>
        </is>
      </c>
      <c r="E2744" t="inlineStr">
        <is>
          <t>SÄTER</t>
        </is>
      </c>
      <c r="G2744" t="n">
        <v>8.6</v>
      </c>
      <c r="H2744" t="n">
        <v>0</v>
      </c>
      <c r="I2744" t="n">
        <v>0</v>
      </c>
      <c r="J2744" t="n">
        <v>0</v>
      </c>
      <c r="K2744" t="n">
        <v>0</v>
      </c>
      <c r="L2744" t="n">
        <v>0</v>
      </c>
      <c r="M2744" t="n">
        <v>0</v>
      </c>
      <c r="N2744" t="n">
        <v>0</v>
      </c>
      <c r="O2744" t="n">
        <v>0</v>
      </c>
      <c r="P2744" t="n">
        <v>0</v>
      </c>
      <c r="Q2744" t="n">
        <v>0</v>
      </c>
      <c r="R2744" s="2" t="inlineStr"/>
    </row>
    <row r="2745" ht="15" customHeight="1">
      <c r="A2745" t="inlineStr">
        <is>
          <t>A 44310-2020</t>
        </is>
      </c>
      <c r="B2745" s="1" t="n">
        <v>44084</v>
      </c>
      <c r="C2745" s="1" t="n">
        <v>45210</v>
      </c>
      <c r="D2745" t="inlineStr">
        <is>
          <t>DALARNAS LÄN</t>
        </is>
      </c>
      <c r="E2745" t="inlineStr">
        <is>
          <t>AVESTA</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44449-2020</t>
        </is>
      </c>
      <c r="B2746" s="1" t="n">
        <v>44084</v>
      </c>
      <c r="C2746" s="1" t="n">
        <v>45210</v>
      </c>
      <c r="D2746" t="inlineStr">
        <is>
          <t>DALARNAS LÄN</t>
        </is>
      </c>
      <c r="E2746" t="inlineStr">
        <is>
          <t>VANSBRO</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44387-2020</t>
        </is>
      </c>
      <c r="B2747" s="1" t="n">
        <v>44084</v>
      </c>
      <c r="C2747" s="1" t="n">
        <v>45210</v>
      </c>
      <c r="D2747" t="inlineStr">
        <is>
          <t>DALARNAS LÄN</t>
        </is>
      </c>
      <c r="E2747" t="inlineStr">
        <is>
          <t>VANSBRO</t>
        </is>
      </c>
      <c r="F2747" t="inlineStr">
        <is>
          <t>Bergvik skog väst AB</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44448-2020</t>
        </is>
      </c>
      <c r="B2748" s="1" t="n">
        <v>44084</v>
      </c>
      <c r="C2748" s="1" t="n">
        <v>45210</v>
      </c>
      <c r="D2748" t="inlineStr">
        <is>
          <t>DALARNAS LÄN</t>
        </is>
      </c>
      <c r="E2748" t="inlineStr">
        <is>
          <t>MALUNG-SÄLEN</t>
        </is>
      </c>
      <c r="G2748" t="n">
        <v>3.6</v>
      </c>
      <c r="H2748" t="n">
        <v>0</v>
      </c>
      <c r="I2748" t="n">
        <v>0</v>
      </c>
      <c r="J2748" t="n">
        <v>0</v>
      </c>
      <c r="K2748" t="n">
        <v>0</v>
      </c>
      <c r="L2748" t="n">
        <v>0</v>
      </c>
      <c r="M2748" t="n">
        <v>0</v>
      </c>
      <c r="N2748" t="n">
        <v>0</v>
      </c>
      <c r="O2748" t="n">
        <v>0</v>
      </c>
      <c r="P2748" t="n">
        <v>0</v>
      </c>
      <c r="Q2748" t="n">
        <v>0</v>
      </c>
      <c r="R2748" s="2" t="inlineStr"/>
    </row>
    <row r="2749" ht="15" customHeight="1">
      <c r="A2749" t="inlineStr">
        <is>
          <t>A 44392-2020</t>
        </is>
      </c>
      <c r="B2749" s="1" t="n">
        <v>44084</v>
      </c>
      <c r="C2749" s="1" t="n">
        <v>45210</v>
      </c>
      <c r="D2749" t="inlineStr">
        <is>
          <t>DALARNAS LÄN</t>
        </is>
      </c>
      <c r="E2749" t="inlineStr">
        <is>
          <t>VANSBRO</t>
        </is>
      </c>
      <c r="F2749" t="inlineStr">
        <is>
          <t>Bergvik skog väst AB</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45616-2020</t>
        </is>
      </c>
      <c r="B2750" s="1" t="n">
        <v>44084</v>
      </c>
      <c r="C2750" s="1" t="n">
        <v>45210</v>
      </c>
      <c r="D2750" t="inlineStr">
        <is>
          <t>DALARNAS LÄN</t>
        </is>
      </c>
      <c r="E2750" t="inlineStr">
        <is>
          <t>HEDEMORA</t>
        </is>
      </c>
      <c r="F2750" t="inlineStr">
        <is>
          <t>Bergvik skog väst AB</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44243-2020</t>
        </is>
      </c>
      <c r="B2751" s="1" t="n">
        <v>44084</v>
      </c>
      <c r="C2751" s="1" t="n">
        <v>45210</v>
      </c>
      <c r="D2751" t="inlineStr">
        <is>
          <t>DALARNAS LÄN</t>
        </is>
      </c>
      <c r="E2751" t="inlineStr">
        <is>
          <t>RÄTTVIK</t>
        </is>
      </c>
      <c r="F2751" t="inlineStr">
        <is>
          <t>Bergvik skog väst AB</t>
        </is>
      </c>
      <c r="G2751" t="n">
        <v>12.3</v>
      </c>
      <c r="H2751" t="n">
        <v>0</v>
      </c>
      <c r="I2751" t="n">
        <v>0</v>
      </c>
      <c r="J2751" t="n">
        <v>0</v>
      </c>
      <c r="K2751" t="n">
        <v>0</v>
      </c>
      <c r="L2751" t="n">
        <v>0</v>
      </c>
      <c r="M2751" t="n">
        <v>0</v>
      </c>
      <c r="N2751" t="n">
        <v>0</v>
      </c>
      <c r="O2751" t="n">
        <v>0</v>
      </c>
      <c r="P2751" t="n">
        <v>0</v>
      </c>
      <c r="Q2751" t="n">
        <v>0</v>
      </c>
      <c r="R2751" s="2" t="inlineStr"/>
    </row>
    <row r="2752" ht="15" customHeight="1">
      <c r="A2752" t="inlineStr">
        <is>
          <t>A 44641-2020</t>
        </is>
      </c>
      <c r="B2752" s="1" t="n">
        <v>44085</v>
      </c>
      <c r="C2752" s="1" t="n">
        <v>45210</v>
      </c>
      <c r="D2752" t="inlineStr">
        <is>
          <t>DALARNAS LÄN</t>
        </is>
      </c>
      <c r="E2752" t="inlineStr">
        <is>
          <t>GAGNEF</t>
        </is>
      </c>
      <c r="G2752" t="n">
        <v>2.4</v>
      </c>
      <c r="H2752" t="n">
        <v>0</v>
      </c>
      <c r="I2752" t="n">
        <v>0</v>
      </c>
      <c r="J2752" t="n">
        <v>0</v>
      </c>
      <c r="K2752" t="n">
        <v>0</v>
      </c>
      <c r="L2752" t="n">
        <v>0</v>
      </c>
      <c r="M2752" t="n">
        <v>0</v>
      </c>
      <c r="N2752" t="n">
        <v>0</v>
      </c>
      <c r="O2752" t="n">
        <v>0</v>
      </c>
      <c r="P2752" t="n">
        <v>0</v>
      </c>
      <c r="Q2752" t="n">
        <v>0</v>
      </c>
      <c r="R2752" s="2" t="inlineStr"/>
    </row>
    <row r="2753" ht="15" customHeight="1">
      <c r="A2753" t="inlineStr">
        <is>
          <t>A 44705-2020</t>
        </is>
      </c>
      <c r="B2753" s="1" t="n">
        <v>44085</v>
      </c>
      <c r="C2753" s="1" t="n">
        <v>45210</v>
      </c>
      <c r="D2753" t="inlineStr">
        <is>
          <t>DALARNAS LÄN</t>
        </is>
      </c>
      <c r="E2753" t="inlineStr">
        <is>
          <t>VANSBRO</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44746-2020</t>
        </is>
      </c>
      <c r="B2754" s="1" t="n">
        <v>44085</v>
      </c>
      <c r="C2754" s="1" t="n">
        <v>45210</v>
      </c>
      <c r="D2754" t="inlineStr">
        <is>
          <t>DALARNAS LÄN</t>
        </is>
      </c>
      <c r="E2754" t="inlineStr">
        <is>
          <t>LUDVIKA</t>
        </is>
      </c>
      <c r="F2754" t="inlineStr">
        <is>
          <t>Bergvik skog väst AB</t>
        </is>
      </c>
      <c r="G2754" t="n">
        <v>3.2</v>
      </c>
      <c r="H2754" t="n">
        <v>0</v>
      </c>
      <c r="I2754" t="n">
        <v>0</v>
      </c>
      <c r="J2754" t="n">
        <v>0</v>
      </c>
      <c r="K2754" t="n">
        <v>0</v>
      </c>
      <c r="L2754" t="n">
        <v>0</v>
      </c>
      <c r="M2754" t="n">
        <v>0</v>
      </c>
      <c r="N2754" t="n">
        <v>0</v>
      </c>
      <c r="O2754" t="n">
        <v>0</v>
      </c>
      <c r="P2754" t="n">
        <v>0</v>
      </c>
      <c r="Q2754" t="n">
        <v>0</v>
      </c>
      <c r="R2754" s="2" t="inlineStr"/>
    </row>
    <row r="2755" ht="15" customHeight="1">
      <c r="A2755" t="inlineStr">
        <is>
          <t>A 44665-2020</t>
        </is>
      </c>
      <c r="B2755" s="1" t="n">
        <v>44085</v>
      </c>
      <c r="C2755" s="1" t="n">
        <v>45210</v>
      </c>
      <c r="D2755" t="inlineStr">
        <is>
          <t>DALARNAS LÄN</t>
        </is>
      </c>
      <c r="E2755" t="inlineStr">
        <is>
          <t>LEKSAND</t>
        </is>
      </c>
      <c r="F2755" t="inlineStr">
        <is>
          <t>Bergvik skog väst AB</t>
        </is>
      </c>
      <c r="G2755" t="n">
        <v>5.1</v>
      </c>
      <c r="H2755" t="n">
        <v>0</v>
      </c>
      <c r="I2755" t="n">
        <v>0</v>
      </c>
      <c r="J2755" t="n">
        <v>0</v>
      </c>
      <c r="K2755" t="n">
        <v>0</v>
      </c>
      <c r="L2755" t="n">
        <v>0</v>
      </c>
      <c r="M2755" t="n">
        <v>0</v>
      </c>
      <c r="N2755" t="n">
        <v>0</v>
      </c>
      <c r="O2755" t="n">
        <v>0</v>
      </c>
      <c r="P2755" t="n">
        <v>0</v>
      </c>
      <c r="Q2755" t="n">
        <v>0</v>
      </c>
      <c r="R2755" s="2" t="inlineStr"/>
    </row>
    <row r="2756" ht="15" customHeight="1">
      <c r="A2756" t="inlineStr">
        <is>
          <t>A 44747-2020</t>
        </is>
      </c>
      <c r="B2756" s="1" t="n">
        <v>44085</v>
      </c>
      <c r="C2756" s="1" t="n">
        <v>45210</v>
      </c>
      <c r="D2756" t="inlineStr">
        <is>
          <t>DALARNAS LÄN</t>
        </is>
      </c>
      <c r="E2756" t="inlineStr">
        <is>
          <t>LUDVIKA</t>
        </is>
      </c>
      <c r="F2756" t="inlineStr">
        <is>
          <t>Bergvik skog väst AB</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44801-2020</t>
        </is>
      </c>
      <c r="B2757" s="1" t="n">
        <v>44085</v>
      </c>
      <c r="C2757" s="1" t="n">
        <v>45210</v>
      </c>
      <c r="D2757" t="inlineStr">
        <is>
          <t>DALARNAS LÄN</t>
        </is>
      </c>
      <c r="E2757" t="inlineStr">
        <is>
          <t>FALUN</t>
        </is>
      </c>
      <c r="G2757" t="n">
        <v>2.9</v>
      </c>
      <c r="H2757" t="n">
        <v>0</v>
      </c>
      <c r="I2757" t="n">
        <v>0</v>
      </c>
      <c r="J2757" t="n">
        <v>0</v>
      </c>
      <c r="K2757" t="n">
        <v>0</v>
      </c>
      <c r="L2757" t="n">
        <v>0</v>
      </c>
      <c r="M2757" t="n">
        <v>0</v>
      </c>
      <c r="N2757" t="n">
        <v>0</v>
      </c>
      <c r="O2757" t="n">
        <v>0</v>
      </c>
      <c r="P2757" t="n">
        <v>0</v>
      </c>
      <c r="Q2757" t="n">
        <v>0</v>
      </c>
      <c r="R2757" s="2" t="inlineStr"/>
    </row>
    <row r="2758" ht="15" customHeight="1">
      <c r="A2758" t="inlineStr">
        <is>
          <t>A 45390-2020</t>
        </is>
      </c>
      <c r="B2758" s="1" t="n">
        <v>44085</v>
      </c>
      <c r="C2758" s="1" t="n">
        <v>45210</v>
      </c>
      <c r="D2758" t="inlineStr">
        <is>
          <t>DALARNAS LÄN</t>
        </is>
      </c>
      <c r="E2758" t="inlineStr">
        <is>
          <t>LUDVIKA</t>
        </is>
      </c>
      <c r="G2758" t="n">
        <v>4.4</v>
      </c>
      <c r="H2758" t="n">
        <v>0</v>
      </c>
      <c r="I2758" t="n">
        <v>0</v>
      </c>
      <c r="J2758" t="n">
        <v>0</v>
      </c>
      <c r="K2758" t="n">
        <v>0</v>
      </c>
      <c r="L2758" t="n">
        <v>0</v>
      </c>
      <c r="M2758" t="n">
        <v>0</v>
      </c>
      <c r="N2758" t="n">
        <v>0</v>
      </c>
      <c r="O2758" t="n">
        <v>0</v>
      </c>
      <c r="P2758" t="n">
        <v>0</v>
      </c>
      <c r="Q2758" t="n">
        <v>0</v>
      </c>
      <c r="R2758" s="2" t="inlineStr"/>
    </row>
    <row r="2759" ht="15" customHeight="1">
      <c r="A2759" t="inlineStr">
        <is>
          <t>A 45392-2020</t>
        </is>
      </c>
      <c r="B2759" s="1" t="n">
        <v>44085</v>
      </c>
      <c r="C2759" s="1" t="n">
        <v>45210</v>
      </c>
      <c r="D2759" t="inlineStr">
        <is>
          <t>DALARNAS LÄN</t>
        </is>
      </c>
      <c r="E2759" t="inlineStr">
        <is>
          <t>HEDEMORA</t>
        </is>
      </c>
      <c r="F2759" t="inlineStr">
        <is>
          <t>Bergvik skog väst AB</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44745-2020</t>
        </is>
      </c>
      <c r="B2760" s="1" t="n">
        <v>44085</v>
      </c>
      <c r="C2760" s="1" t="n">
        <v>45210</v>
      </c>
      <c r="D2760" t="inlineStr">
        <is>
          <t>DALARNAS LÄN</t>
        </is>
      </c>
      <c r="E2760" t="inlineStr">
        <is>
          <t>LUDVIKA</t>
        </is>
      </c>
      <c r="F2760" t="inlineStr">
        <is>
          <t>Bergvik skog väst AB</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45205-2020</t>
        </is>
      </c>
      <c r="B2761" s="1" t="n">
        <v>44088</v>
      </c>
      <c r="C2761" s="1" t="n">
        <v>45210</v>
      </c>
      <c r="D2761" t="inlineStr">
        <is>
          <t>DALARNAS LÄN</t>
        </is>
      </c>
      <c r="E2761" t="inlineStr">
        <is>
          <t>AVESTA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45995-2020</t>
        </is>
      </c>
      <c r="B2762" s="1" t="n">
        <v>44088</v>
      </c>
      <c r="C2762" s="1" t="n">
        <v>45210</v>
      </c>
      <c r="D2762" t="inlineStr">
        <is>
          <t>DALARNAS LÄN</t>
        </is>
      </c>
      <c r="E2762" t="inlineStr">
        <is>
          <t>LEKSAND</t>
        </is>
      </c>
      <c r="G2762" t="n">
        <v>7.8</v>
      </c>
      <c r="H2762" t="n">
        <v>0</v>
      </c>
      <c r="I2762" t="n">
        <v>0</v>
      </c>
      <c r="J2762" t="n">
        <v>0</v>
      </c>
      <c r="K2762" t="n">
        <v>0</v>
      </c>
      <c r="L2762" t="n">
        <v>0</v>
      </c>
      <c r="M2762" t="n">
        <v>0</v>
      </c>
      <c r="N2762" t="n">
        <v>0</v>
      </c>
      <c r="O2762" t="n">
        <v>0</v>
      </c>
      <c r="P2762" t="n">
        <v>0</v>
      </c>
      <c r="Q2762" t="n">
        <v>0</v>
      </c>
      <c r="R2762" s="2" t="inlineStr"/>
    </row>
    <row r="2763" ht="15" customHeight="1">
      <c r="A2763" t="inlineStr">
        <is>
          <t>A 45950-2020</t>
        </is>
      </c>
      <c r="B2763" s="1" t="n">
        <v>44088</v>
      </c>
      <c r="C2763" s="1" t="n">
        <v>45210</v>
      </c>
      <c r="D2763" t="inlineStr">
        <is>
          <t>DALARNAS LÄN</t>
        </is>
      </c>
      <c r="E2763" t="inlineStr">
        <is>
          <t>LEKSAND</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45991-2020</t>
        </is>
      </c>
      <c r="B2764" s="1" t="n">
        <v>44088</v>
      </c>
      <c r="C2764" s="1" t="n">
        <v>45210</v>
      </c>
      <c r="D2764" t="inlineStr">
        <is>
          <t>DALARNAS LÄN</t>
        </is>
      </c>
      <c r="E2764" t="inlineStr">
        <is>
          <t>LEKSAND</t>
        </is>
      </c>
      <c r="G2764" t="n">
        <v>9.9</v>
      </c>
      <c r="H2764" t="n">
        <v>0</v>
      </c>
      <c r="I2764" t="n">
        <v>0</v>
      </c>
      <c r="J2764" t="n">
        <v>0</v>
      </c>
      <c r="K2764" t="n">
        <v>0</v>
      </c>
      <c r="L2764" t="n">
        <v>0</v>
      </c>
      <c r="M2764" t="n">
        <v>0</v>
      </c>
      <c r="N2764" t="n">
        <v>0</v>
      </c>
      <c r="O2764" t="n">
        <v>0</v>
      </c>
      <c r="P2764" t="n">
        <v>0</v>
      </c>
      <c r="Q2764" t="n">
        <v>0</v>
      </c>
      <c r="R2764" s="2" t="inlineStr"/>
    </row>
    <row r="2765" ht="15" customHeight="1">
      <c r="A2765" t="inlineStr">
        <is>
          <t>A 45297-2020</t>
        </is>
      </c>
      <c r="B2765" s="1" t="n">
        <v>44089</v>
      </c>
      <c r="C2765" s="1" t="n">
        <v>45210</v>
      </c>
      <c r="D2765" t="inlineStr">
        <is>
          <t>DALARNAS LÄN</t>
        </is>
      </c>
      <c r="E2765" t="inlineStr">
        <is>
          <t>VANSBRO</t>
        </is>
      </c>
      <c r="F2765" t="inlineStr">
        <is>
          <t>Bergvik skog väst AB</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45340-2020</t>
        </is>
      </c>
      <c r="B2766" s="1" t="n">
        <v>44089</v>
      </c>
      <c r="C2766" s="1" t="n">
        <v>45210</v>
      </c>
      <c r="D2766" t="inlineStr">
        <is>
          <t>DALARNAS LÄN</t>
        </is>
      </c>
      <c r="E2766" t="inlineStr">
        <is>
          <t>GAGNEF</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45523-2020</t>
        </is>
      </c>
      <c r="B2767" s="1" t="n">
        <v>44089</v>
      </c>
      <c r="C2767" s="1" t="n">
        <v>45210</v>
      </c>
      <c r="D2767" t="inlineStr">
        <is>
          <t>DALARNAS LÄN</t>
        </is>
      </c>
      <c r="E2767" t="inlineStr">
        <is>
          <t>RÄTTVIK</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45728-2020</t>
        </is>
      </c>
      <c r="B2768" s="1" t="n">
        <v>44090</v>
      </c>
      <c r="C2768" s="1" t="n">
        <v>45210</v>
      </c>
      <c r="D2768" t="inlineStr">
        <is>
          <t>DALARNAS LÄN</t>
        </is>
      </c>
      <c r="E2768" t="inlineStr">
        <is>
          <t>SÄTER</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46854-2020</t>
        </is>
      </c>
      <c r="B2769" s="1" t="n">
        <v>44090</v>
      </c>
      <c r="C2769" s="1" t="n">
        <v>45210</v>
      </c>
      <c r="D2769" t="inlineStr">
        <is>
          <t>DALARNAS LÄN</t>
        </is>
      </c>
      <c r="E2769" t="inlineStr">
        <is>
          <t>LEKSAND</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45722-2020</t>
        </is>
      </c>
      <c r="B2770" s="1" t="n">
        <v>44090</v>
      </c>
      <c r="C2770" s="1" t="n">
        <v>45210</v>
      </c>
      <c r="D2770" t="inlineStr">
        <is>
          <t>DALARNAS LÄN</t>
        </is>
      </c>
      <c r="E2770" t="inlineStr">
        <is>
          <t>MALUNG-SÄLEN</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45737-2020</t>
        </is>
      </c>
      <c r="B2771" s="1" t="n">
        <v>44090</v>
      </c>
      <c r="C2771" s="1" t="n">
        <v>45210</v>
      </c>
      <c r="D2771" t="inlineStr">
        <is>
          <t>DALARNAS LÄN</t>
        </is>
      </c>
      <c r="E2771" t="inlineStr">
        <is>
          <t>MALUNG-SÄLEN</t>
        </is>
      </c>
      <c r="F2771" t="inlineStr">
        <is>
          <t>Bergvik skog öst AB</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45590-2020</t>
        </is>
      </c>
      <c r="B2772" s="1" t="n">
        <v>44090</v>
      </c>
      <c r="C2772" s="1" t="n">
        <v>45210</v>
      </c>
      <c r="D2772" t="inlineStr">
        <is>
          <t>DALARNAS LÄN</t>
        </is>
      </c>
      <c r="E2772" t="inlineStr">
        <is>
          <t>FALUN</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45613-2020</t>
        </is>
      </c>
      <c r="B2773" s="1" t="n">
        <v>44090</v>
      </c>
      <c r="C2773" s="1" t="n">
        <v>45210</v>
      </c>
      <c r="D2773" t="inlineStr">
        <is>
          <t>DALARNAS LÄN</t>
        </is>
      </c>
      <c r="E2773" t="inlineStr">
        <is>
          <t>LUDVIKA</t>
        </is>
      </c>
      <c r="F2773" t="inlineStr">
        <is>
          <t>Övriga Aktiebolag</t>
        </is>
      </c>
      <c r="G2773" t="n">
        <v>0.7</v>
      </c>
      <c r="H2773" t="n">
        <v>0</v>
      </c>
      <c r="I2773" t="n">
        <v>0</v>
      </c>
      <c r="J2773" t="n">
        <v>0</v>
      </c>
      <c r="K2773" t="n">
        <v>0</v>
      </c>
      <c r="L2773" t="n">
        <v>0</v>
      </c>
      <c r="M2773" t="n">
        <v>0</v>
      </c>
      <c r="N2773" t="n">
        <v>0</v>
      </c>
      <c r="O2773" t="n">
        <v>0</v>
      </c>
      <c r="P2773" t="n">
        <v>0</v>
      </c>
      <c r="Q2773" t="n">
        <v>0</v>
      </c>
      <c r="R2773" s="2" t="inlineStr"/>
    </row>
    <row r="2774" ht="15" customHeight="1">
      <c r="A2774" t="inlineStr">
        <is>
          <t>A 46832-2020</t>
        </is>
      </c>
      <c r="B2774" s="1" t="n">
        <v>44090</v>
      </c>
      <c r="C2774" s="1" t="n">
        <v>45210</v>
      </c>
      <c r="D2774" t="inlineStr">
        <is>
          <t>DALARNAS LÄN</t>
        </is>
      </c>
      <c r="E2774" t="inlineStr">
        <is>
          <t>MALUNG-SÄLEN</t>
        </is>
      </c>
      <c r="F2774" t="inlineStr">
        <is>
          <t>Allmännings- och besparingsskogar</t>
        </is>
      </c>
      <c r="G2774" t="n">
        <v>62.4</v>
      </c>
      <c r="H2774" t="n">
        <v>0</v>
      </c>
      <c r="I2774" t="n">
        <v>0</v>
      </c>
      <c r="J2774" t="n">
        <v>0</v>
      </c>
      <c r="K2774" t="n">
        <v>0</v>
      </c>
      <c r="L2774" t="n">
        <v>0</v>
      </c>
      <c r="M2774" t="n">
        <v>0</v>
      </c>
      <c r="N2774" t="n">
        <v>0</v>
      </c>
      <c r="O2774" t="n">
        <v>0</v>
      </c>
      <c r="P2774" t="n">
        <v>0</v>
      </c>
      <c r="Q2774" t="n">
        <v>0</v>
      </c>
      <c r="R2774" s="2" t="inlineStr"/>
    </row>
    <row r="2775" ht="15" customHeight="1">
      <c r="A2775" t="inlineStr">
        <is>
          <t>A 45605-2020</t>
        </is>
      </c>
      <c r="B2775" s="1" t="n">
        <v>44090</v>
      </c>
      <c r="C2775" s="1" t="n">
        <v>45210</v>
      </c>
      <c r="D2775" t="inlineStr">
        <is>
          <t>DALARNAS LÄN</t>
        </is>
      </c>
      <c r="E2775" t="inlineStr">
        <is>
          <t>FALUN</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47004-2020</t>
        </is>
      </c>
      <c r="B2776" s="1" t="n">
        <v>44091</v>
      </c>
      <c r="C2776" s="1" t="n">
        <v>45210</v>
      </c>
      <c r="D2776" t="inlineStr">
        <is>
          <t>DALARNAS LÄN</t>
        </is>
      </c>
      <c r="E2776" t="inlineStr">
        <is>
          <t>LEKSAND</t>
        </is>
      </c>
      <c r="G2776" t="n">
        <v>3.2</v>
      </c>
      <c r="H2776" t="n">
        <v>0</v>
      </c>
      <c r="I2776" t="n">
        <v>0</v>
      </c>
      <c r="J2776" t="n">
        <v>0</v>
      </c>
      <c r="K2776" t="n">
        <v>0</v>
      </c>
      <c r="L2776" t="n">
        <v>0</v>
      </c>
      <c r="M2776" t="n">
        <v>0</v>
      </c>
      <c r="N2776" t="n">
        <v>0</v>
      </c>
      <c r="O2776" t="n">
        <v>0</v>
      </c>
      <c r="P2776" t="n">
        <v>0</v>
      </c>
      <c r="Q2776" t="n">
        <v>0</v>
      </c>
      <c r="R2776" s="2" t="inlineStr"/>
    </row>
    <row r="2777" ht="15" customHeight="1">
      <c r="A2777" t="inlineStr">
        <is>
          <t>A 45876-2020</t>
        </is>
      </c>
      <c r="B2777" s="1" t="n">
        <v>44091</v>
      </c>
      <c r="C2777" s="1" t="n">
        <v>45210</v>
      </c>
      <c r="D2777" t="inlineStr">
        <is>
          <t>DALARNAS LÄN</t>
        </is>
      </c>
      <c r="E2777" t="inlineStr">
        <is>
          <t>VANSBRO</t>
        </is>
      </c>
      <c r="F2777" t="inlineStr">
        <is>
          <t>Bergvik skog väst AB</t>
        </is>
      </c>
      <c r="G2777" t="n">
        <v>11.3</v>
      </c>
      <c r="H2777" t="n">
        <v>0</v>
      </c>
      <c r="I2777" t="n">
        <v>0</v>
      </c>
      <c r="J2777" t="n">
        <v>0</v>
      </c>
      <c r="K2777" t="n">
        <v>0</v>
      </c>
      <c r="L2777" t="n">
        <v>0</v>
      </c>
      <c r="M2777" t="n">
        <v>0</v>
      </c>
      <c r="N2777" t="n">
        <v>0</v>
      </c>
      <c r="O2777" t="n">
        <v>0</v>
      </c>
      <c r="P2777" t="n">
        <v>0</v>
      </c>
      <c r="Q2777" t="n">
        <v>0</v>
      </c>
      <c r="R2777" s="2" t="inlineStr"/>
    </row>
    <row r="2778" ht="15" customHeight="1">
      <c r="A2778" t="inlineStr">
        <is>
          <t>A 45989-2020</t>
        </is>
      </c>
      <c r="B2778" s="1" t="n">
        <v>44091</v>
      </c>
      <c r="C2778" s="1" t="n">
        <v>45210</v>
      </c>
      <c r="D2778" t="inlineStr">
        <is>
          <t>DALARNAS LÄN</t>
        </is>
      </c>
      <c r="E2778" t="inlineStr">
        <is>
          <t>FALUN</t>
        </is>
      </c>
      <c r="G2778" t="n">
        <v>5.1</v>
      </c>
      <c r="H2778" t="n">
        <v>0</v>
      </c>
      <c r="I2778" t="n">
        <v>0</v>
      </c>
      <c r="J2778" t="n">
        <v>0</v>
      </c>
      <c r="K2778" t="n">
        <v>0</v>
      </c>
      <c r="L2778" t="n">
        <v>0</v>
      </c>
      <c r="M2778" t="n">
        <v>0</v>
      </c>
      <c r="N2778" t="n">
        <v>0</v>
      </c>
      <c r="O2778" t="n">
        <v>0</v>
      </c>
      <c r="P2778" t="n">
        <v>0</v>
      </c>
      <c r="Q2778" t="n">
        <v>0</v>
      </c>
      <c r="R2778" s="2" t="inlineStr"/>
    </row>
    <row r="2779" ht="15" customHeight="1">
      <c r="A2779" t="inlineStr">
        <is>
          <t>A 47182-2020</t>
        </is>
      </c>
      <c r="B2779" s="1" t="n">
        <v>44091</v>
      </c>
      <c r="C2779" s="1" t="n">
        <v>45210</v>
      </c>
      <c r="D2779" t="inlineStr">
        <is>
          <t>DALARNAS LÄN</t>
        </is>
      </c>
      <c r="E2779" t="inlineStr">
        <is>
          <t>RÄTTVIK</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46146-2020</t>
        </is>
      </c>
      <c r="B2780" s="1" t="n">
        <v>44092</v>
      </c>
      <c r="C2780" s="1" t="n">
        <v>45210</v>
      </c>
      <c r="D2780" t="inlineStr">
        <is>
          <t>DALARNAS LÄN</t>
        </is>
      </c>
      <c r="E2780" t="inlineStr">
        <is>
          <t>LUDVIKA</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46268-2020</t>
        </is>
      </c>
      <c r="B2781" s="1" t="n">
        <v>44092</v>
      </c>
      <c r="C2781" s="1" t="n">
        <v>45210</v>
      </c>
      <c r="D2781" t="inlineStr">
        <is>
          <t>DALARNAS LÄN</t>
        </is>
      </c>
      <c r="E2781" t="inlineStr">
        <is>
          <t>LUDVIKA</t>
        </is>
      </c>
      <c r="F2781" t="inlineStr">
        <is>
          <t>Sveaskog</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46275-2020</t>
        </is>
      </c>
      <c r="B2782" s="1" t="n">
        <v>44092</v>
      </c>
      <c r="C2782" s="1" t="n">
        <v>45210</v>
      </c>
      <c r="D2782" t="inlineStr">
        <is>
          <t>DALARNAS LÄN</t>
        </is>
      </c>
      <c r="E2782" t="inlineStr">
        <is>
          <t>LUDVIKA</t>
        </is>
      </c>
      <c r="F2782" t="inlineStr">
        <is>
          <t>Sveaskog</t>
        </is>
      </c>
      <c r="G2782" t="n">
        <v>6.1</v>
      </c>
      <c r="H2782" t="n">
        <v>0</v>
      </c>
      <c r="I2782" t="n">
        <v>0</v>
      </c>
      <c r="J2782" t="n">
        <v>0</v>
      </c>
      <c r="K2782" t="n">
        <v>0</v>
      </c>
      <c r="L2782" t="n">
        <v>0</v>
      </c>
      <c r="M2782" t="n">
        <v>0</v>
      </c>
      <c r="N2782" t="n">
        <v>0</v>
      </c>
      <c r="O2782" t="n">
        <v>0</v>
      </c>
      <c r="P2782" t="n">
        <v>0</v>
      </c>
      <c r="Q2782" t="n">
        <v>0</v>
      </c>
      <c r="R2782" s="2" t="inlineStr"/>
    </row>
    <row r="2783" ht="15" customHeight="1">
      <c r="A2783" t="inlineStr">
        <is>
          <t>A 46284-2020</t>
        </is>
      </c>
      <c r="B2783" s="1" t="n">
        <v>44092</v>
      </c>
      <c r="C2783" s="1" t="n">
        <v>45210</v>
      </c>
      <c r="D2783" t="inlineStr">
        <is>
          <t>DALARNAS LÄN</t>
        </is>
      </c>
      <c r="E2783" t="inlineStr">
        <is>
          <t>LUDVIKA</t>
        </is>
      </c>
      <c r="F2783" t="inlineStr">
        <is>
          <t>Sveaskog</t>
        </is>
      </c>
      <c r="G2783" t="n">
        <v>4.4</v>
      </c>
      <c r="H2783" t="n">
        <v>0</v>
      </c>
      <c r="I2783" t="n">
        <v>0</v>
      </c>
      <c r="J2783" t="n">
        <v>0</v>
      </c>
      <c r="K2783" t="n">
        <v>0</v>
      </c>
      <c r="L2783" t="n">
        <v>0</v>
      </c>
      <c r="M2783" t="n">
        <v>0</v>
      </c>
      <c r="N2783" t="n">
        <v>0</v>
      </c>
      <c r="O2783" t="n">
        <v>0</v>
      </c>
      <c r="P2783" t="n">
        <v>0</v>
      </c>
      <c r="Q2783" t="n">
        <v>0</v>
      </c>
      <c r="R2783" s="2" t="inlineStr"/>
    </row>
    <row r="2784" ht="15" customHeight="1">
      <c r="A2784" t="inlineStr">
        <is>
          <t>A 46252-2020</t>
        </is>
      </c>
      <c r="B2784" s="1" t="n">
        <v>44092</v>
      </c>
      <c r="C2784" s="1" t="n">
        <v>45210</v>
      </c>
      <c r="D2784" t="inlineStr">
        <is>
          <t>DALARNAS LÄN</t>
        </is>
      </c>
      <c r="E2784" t="inlineStr">
        <is>
          <t>LUDVIKA</t>
        </is>
      </c>
      <c r="F2784" t="inlineStr">
        <is>
          <t>Sveaskog</t>
        </is>
      </c>
      <c r="G2784" t="n">
        <v>4</v>
      </c>
      <c r="H2784" t="n">
        <v>0</v>
      </c>
      <c r="I2784" t="n">
        <v>0</v>
      </c>
      <c r="J2784" t="n">
        <v>0</v>
      </c>
      <c r="K2784" t="n">
        <v>0</v>
      </c>
      <c r="L2784" t="n">
        <v>0</v>
      </c>
      <c r="M2784" t="n">
        <v>0</v>
      </c>
      <c r="N2784" t="n">
        <v>0</v>
      </c>
      <c r="O2784" t="n">
        <v>0</v>
      </c>
      <c r="P2784" t="n">
        <v>0</v>
      </c>
      <c r="Q2784" t="n">
        <v>0</v>
      </c>
      <c r="R2784" s="2" t="inlineStr"/>
    </row>
    <row r="2785" ht="15" customHeight="1">
      <c r="A2785" t="inlineStr">
        <is>
          <t>A 46329-2020</t>
        </is>
      </c>
      <c r="B2785" s="1" t="n">
        <v>44092</v>
      </c>
      <c r="C2785" s="1" t="n">
        <v>45210</v>
      </c>
      <c r="D2785" t="inlineStr">
        <is>
          <t>DALARNAS LÄN</t>
        </is>
      </c>
      <c r="E2785" t="inlineStr">
        <is>
          <t>LUDVIKA</t>
        </is>
      </c>
      <c r="F2785" t="inlineStr">
        <is>
          <t>Sveaskog</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46392-2020</t>
        </is>
      </c>
      <c r="B2786" s="1" t="n">
        <v>44093</v>
      </c>
      <c r="C2786" s="1" t="n">
        <v>45210</v>
      </c>
      <c r="D2786" t="inlineStr">
        <is>
          <t>DALARNAS LÄN</t>
        </is>
      </c>
      <c r="E2786" t="inlineStr">
        <is>
          <t>HEDEMORA</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46391-2020</t>
        </is>
      </c>
      <c r="B2787" s="1" t="n">
        <v>44093</v>
      </c>
      <c r="C2787" s="1" t="n">
        <v>45210</v>
      </c>
      <c r="D2787" t="inlineStr">
        <is>
          <t>DALARNAS LÄN</t>
        </is>
      </c>
      <c r="E2787" t="inlineStr">
        <is>
          <t>HEDEMORA</t>
        </is>
      </c>
      <c r="F2787" t="inlineStr">
        <is>
          <t>Sveaskog</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46393-2020</t>
        </is>
      </c>
      <c r="B2788" s="1" t="n">
        <v>44093</v>
      </c>
      <c r="C2788" s="1" t="n">
        <v>45210</v>
      </c>
      <c r="D2788" t="inlineStr">
        <is>
          <t>DALARNAS LÄN</t>
        </is>
      </c>
      <c r="E2788" t="inlineStr">
        <is>
          <t>HEDEMORA</t>
        </is>
      </c>
      <c r="F2788" t="inlineStr">
        <is>
          <t>Sveaskog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46409-2020</t>
        </is>
      </c>
      <c r="B2789" s="1" t="n">
        <v>44094</v>
      </c>
      <c r="C2789" s="1" t="n">
        <v>45210</v>
      </c>
      <c r="D2789" t="inlineStr">
        <is>
          <t>DALARNAS LÄN</t>
        </is>
      </c>
      <c r="E2789" t="inlineStr">
        <is>
          <t>VANSBRO</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46572-2020</t>
        </is>
      </c>
      <c r="B2790" s="1" t="n">
        <v>44095</v>
      </c>
      <c r="C2790" s="1" t="n">
        <v>45210</v>
      </c>
      <c r="D2790" t="inlineStr">
        <is>
          <t>DALARNAS LÄN</t>
        </is>
      </c>
      <c r="E2790" t="inlineStr">
        <is>
          <t>FALUN</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46687-2020</t>
        </is>
      </c>
      <c r="B2791" s="1" t="n">
        <v>44095</v>
      </c>
      <c r="C2791" s="1" t="n">
        <v>45210</v>
      </c>
      <c r="D2791" t="inlineStr">
        <is>
          <t>DALARNAS LÄN</t>
        </is>
      </c>
      <c r="E2791" t="inlineStr">
        <is>
          <t>SÄTER</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46575-2020</t>
        </is>
      </c>
      <c r="B2792" s="1" t="n">
        <v>44095</v>
      </c>
      <c r="C2792" s="1" t="n">
        <v>45210</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46858-2020</t>
        </is>
      </c>
      <c r="B2793" s="1" t="n">
        <v>44095</v>
      </c>
      <c r="C2793" s="1" t="n">
        <v>45210</v>
      </c>
      <c r="D2793" t="inlineStr">
        <is>
          <t>DALARNAS LÄN</t>
        </is>
      </c>
      <c r="E2793" t="inlineStr">
        <is>
          <t>RÄTTVIK</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47057-2020</t>
        </is>
      </c>
      <c r="B2794" s="1" t="n">
        <v>44096</v>
      </c>
      <c r="C2794" s="1" t="n">
        <v>45210</v>
      </c>
      <c r="D2794" t="inlineStr">
        <is>
          <t>DALARNAS LÄN</t>
        </is>
      </c>
      <c r="E2794" t="inlineStr">
        <is>
          <t>VANSBRO</t>
        </is>
      </c>
      <c r="F2794" t="inlineStr">
        <is>
          <t>Bergvik skog öst AB</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47069-2020</t>
        </is>
      </c>
      <c r="B2795" s="1" t="n">
        <v>44096</v>
      </c>
      <c r="C2795" s="1" t="n">
        <v>45210</v>
      </c>
      <c r="D2795" t="inlineStr">
        <is>
          <t>DALARNAS LÄN</t>
        </is>
      </c>
      <c r="E2795" t="inlineStr">
        <is>
          <t>LEKSAND</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47052-2020</t>
        </is>
      </c>
      <c r="B2796" s="1" t="n">
        <v>44096</v>
      </c>
      <c r="C2796" s="1" t="n">
        <v>45210</v>
      </c>
      <c r="D2796" t="inlineStr">
        <is>
          <t>DALARNAS LÄN</t>
        </is>
      </c>
      <c r="E2796" t="inlineStr">
        <is>
          <t>VANSBRO</t>
        </is>
      </c>
      <c r="F2796" t="inlineStr">
        <is>
          <t>Bergvik skog öst AB</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47059-2020</t>
        </is>
      </c>
      <c r="B2797" s="1" t="n">
        <v>44096</v>
      </c>
      <c r="C2797" s="1" t="n">
        <v>45210</v>
      </c>
      <c r="D2797" t="inlineStr">
        <is>
          <t>DALARNAS LÄN</t>
        </is>
      </c>
      <c r="E2797" t="inlineStr">
        <is>
          <t>VANSBRO</t>
        </is>
      </c>
      <c r="F2797" t="inlineStr">
        <is>
          <t>Bergvik skog öst AB</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46893-2020</t>
        </is>
      </c>
      <c r="B2798" s="1" t="n">
        <v>44096</v>
      </c>
      <c r="C2798" s="1" t="n">
        <v>45210</v>
      </c>
      <c r="D2798" t="inlineStr">
        <is>
          <t>DALARNAS LÄN</t>
        </is>
      </c>
      <c r="E2798" t="inlineStr">
        <is>
          <t>ÄLVDALEN</t>
        </is>
      </c>
      <c r="F2798" t="inlineStr">
        <is>
          <t>Bergvik skog öst AB</t>
        </is>
      </c>
      <c r="G2798" t="n">
        <v>4.2</v>
      </c>
      <c r="H2798" t="n">
        <v>0</v>
      </c>
      <c r="I2798" t="n">
        <v>0</v>
      </c>
      <c r="J2798" t="n">
        <v>0</v>
      </c>
      <c r="K2798" t="n">
        <v>0</v>
      </c>
      <c r="L2798" t="n">
        <v>0</v>
      </c>
      <c r="M2798" t="n">
        <v>0</v>
      </c>
      <c r="N2798" t="n">
        <v>0</v>
      </c>
      <c r="O2798" t="n">
        <v>0</v>
      </c>
      <c r="P2798" t="n">
        <v>0</v>
      </c>
      <c r="Q2798" t="n">
        <v>0</v>
      </c>
      <c r="R2798" s="2" t="inlineStr"/>
    </row>
    <row r="2799" ht="15" customHeight="1">
      <c r="A2799" t="inlineStr">
        <is>
          <t>A 46900-2020</t>
        </is>
      </c>
      <c r="B2799" s="1" t="n">
        <v>44096</v>
      </c>
      <c r="C2799" s="1" t="n">
        <v>45210</v>
      </c>
      <c r="D2799" t="inlineStr">
        <is>
          <t>DALARNAS LÄN</t>
        </is>
      </c>
      <c r="E2799" t="inlineStr">
        <is>
          <t>FALUN</t>
        </is>
      </c>
      <c r="F2799" t="inlineStr">
        <is>
          <t>Bergvik skog väst AB</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47056-2020</t>
        </is>
      </c>
      <c r="B2800" s="1" t="n">
        <v>44096</v>
      </c>
      <c r="C2800" s="1" t="n">
        <v>45210</v>
      </c>
      <c r="D2800" t="inlineStr">
        <is>
          <t>DALARNAS LÄN</t>
        </is>
      </c>
      <c r="E2800" t="inlineStr">
        <is>
          <t>VANSBRO</t>
        </is>
      </c>
      <c r="F2800" t="inlineStr">
        <is>
          <t>Bergvik skog öst AB</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46881-2020</t>
        </is>
      </c>
      <c r="B2801" s="1" t="n">
        <v>44096</v>
      </c>
      <c r="C2801" s="1" t="n">
        <v>45210</v>
      </c>
      <c r="D2801" t="inlineStr">
        <is>
          <t>DALARNAS LÄN</t>
        </is>
      </c>
      <c r="E2801" t="inlineStr">
        <is>
          <t>ÄLVDALEN</t>
        </is>
      </c>
      <c r="F2801" t="inlineStr">
        <is>
          <t>Bergvik skog öst AB</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47073-2020</t>
        </is>
      </c>
      <c r="B2802" s="1" t="n">
        <v>44096</v>
      </c>
      <c r="C2802" s="1" t="n">
        <v>45210</v>
      </c>
      <c r="D2802" t="inlineStr">
        <is>
          <t>DALARNAS LÄN</t>
        </is>
      </c>
      <c r="E2802" t="inlineStr">
        <is>
          <t>MALUNG-SÄLEN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47190-2020</t>
        </is>
      </c>
      <c r="B2803" s="1" t="n">
        <v>44097</v>
      </c>
      <c r="C2803" s="1" t="n">
        <v>45210</v>
      </c>
      <c r="D2803" t="inlineStr">
        <is>
          <t>DALARNAS LÄN</t>
        </is>
      </c>
      <c r="E2803" t="inlineStr">
        <is>
          <t>MALUNG-SÄLEN</t>
        </is>
      </c>
      <c r="G2803" t="n">
        <v>6</v>
      </c>
      <c r="H2803" t="n">
        <v>0</v>
      </c>
      <c r="I2803" t="n">
        <v>0</v>
      </c>
      <c r="J2803" t="n">
        <v>0</v>
      </c>
      <c r="K2803" t="n">
        <v>0</v>
      </c>
      <c r="L2803" t="n">
        <v>0</v>
      </c>
      <c r="M2803" t="n">
        <v>0</v>
      </c>
      <c r="N2803" t="n">
        <v>0</v>
      </c>
      <c r="O2803" t="n">
        <v>0</v>
      </c>
      <c r="P2803" t="n">
        <v>0</v>
      </c>
      <c r="Q2803" t="n">
        <v>0</v>
      </c>
      <c r="R2803" s="2" t="inlineStr"/>
    </row>
    <row r="2804" ht="15" customHeight="1">
      <c r="A2804" t="inlineStr">
        <is>
          <t>A 47254-2020</t>
        </is>
      </c>
      <c r="B2804" s="1" t="n">
        <v>44097</v>
      </c>
      <c r="C2804" s="1" t="n">
        <v>45210</v>
      </c>
      <c r="D2804" t="inlineStr">
        <is>
          <t>DALARNAS LÄN</t>
        </is>
      </c>
      <c r="E2804" t="inlineStr">
        <is>
          <t>MALUNG-SÄLEN</t>
        </is>
      </c>
      <c r="G2804" t="n">
        <v>5.3</v>
      </c>
      <c r="H2804" t="n">
        <v>0</v>
      </c>
      <c r="I2804" t="n">
        <v>0</v>
      </c>
      <c r="J2804" t="n">
        <v>0</v>
      </c>
      <c r="K2804" t="n">
        <v>0</v>
      </c>
      <c r="L2804" t="n">
        <v>0</v>
      </c>
      <c r="M2804" t="n">
        <v>0</v>
      </c>
      <c r="N2804" t="n">
        <v>0</v>
      </c>
      <c r="O2804" t="n">
        <v>0</v>
      </c>
      <c r="P2804" t="n">
        <v>0</v>
      </c>
      <c r="Q2804" t="n">
        <v>0</v>
      </c>
      <c r="R2804" s="2" t="inlineStr"/>
    </row>
    <row r="2805" ht="15" customHeight="1">
      <c r="A2805" t="inlineStr">
        <is>
          <t>A 47194-2020</t>
        </is>
      </c>
      <c r="B2805" s="1" t="n">
        <v>44097</v>
      </c>
      <c r="C2805" s="1" t="n">
        <v>45210</v>
      </c>
      <c r="D2805" t="inlineStr">
        <is>
          <t>DALARNAS LÄN</t>
        </is>
      </c>
      <c r="E2805" t="inlineStr">
        <is>
          <t>LUDVIKA</t>
        </is>
      </c>
      <c r="F2805" t="inlineStr">
        <is>
          <t>Bergvik skog väst AB</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47287-2020</t>
        </is>
      </c>
      <c r="B2806" s="1" t="n">
        <v>44097</v>
      </c>
      <c r="C2806" s="1" t="n">
        <v>45210</v>
      </c>
      <c r="D2806" t="inlineStr">
        <is>
          <t>DALARNAS LÄN</t>
        </is>
      </c>
      <c r="E2806" t="inlineStr">
        <is>
          <t>AVESTA</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47312-2020</t>
        </is>
      </c>
      <c r="B2807" s="1" t="n">
        <v>44097</v>
      </c>
      <c r="C2807" s="1" t="n">
        <v>45210</v>
      </c>
      <c r="D2807" t="inlineStr">
        <is>
          <t>DALARNAS LÄN</t>
        </is>
      </c>
      <c r="E2807" t="inlineStr">
        <is>
          <t>RÄTTVIK</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47471-2020</t>
        </is>
      </c>
      <c r="B2808" s="1" t="n">
        <v>44097</v>
      </c>
      <c r="C2808" s="1" t="n">
        <v>45210</v>
      </c>
      <c r="D2808" t="inlineStr">
        <is>
          <t>DALARNAS LÄN</t>
        </is>
      </c>
      <c r="E2808" t="inlineStr">
        <is>
          <t>LUDVIKA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47649-2020</t>
        </is>
      </c>
      <c r="B2809" s="1" t="n">
        <v>44098</v>
      </c>
      <c r="C2809" s="1" t="n">
        <v>45210</v>
      </c>
      <c r="D2809" t="inlineStr">
        <is>
          <t>DALARNAS LÄN</t>
        </is>
      </c>
      <c r="E2809" t="inlineStr">
        <is>
          <t>FALUN</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47986-2020</t>
        </is>
      </c>
      <c r="B2810" s="1" t="n">
        <v>44099</v>
      </c>
      <c r="C2810" s="1" t="n">
        <v>45210</v>
      </c>
      <c r="D2810" t="inlineStr">
        <is>
          <t>DALARNAS LÄN</t>
        </is>
      </c>
      <c r="E2810" t="inlineStr">
        <is>
          <t>MALUNG-SÄLEN</t>
        </is>
      </c>
      <c r="F2810" t="inlineStr">
        <is>
          <t>Bergvik skog öst AB</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48065-2020</t>
        </is>
      </c>
      <c r="B2811" s="1" t="n">
        <v>44100</v>
      </c>
      <c r="C2811" s="1" t="n">
        <v>45210</v>
      </c>
      <c r="D2811" t="inlineStr">
        <is>
          <t>DALARNAS LÄN</t>
        </is>
      </c>
      <c r="E2811" t="inlineStr">
        <is>
          <t>MORA</t>
        </is>
      </c>
      <c r="G2811" t="n">
        <v>8.6</v>
      </c>
      <c r="H2811" t="n">
        <v>0</v>
      </c>
      <c r="I2811" t="n">
        <v>0</v>
      </c>
      <c r="J2811" t="n">
        <v>0</v>
      </c>
      <c r="K2811" t="n">
        <v>0</v>
      </c>
      <c r="L2811" t="n">
        <v>0</v>
      </c>
      <c r="M2811" t="n">
        <v>0</v>
      </c>
      <c r="N2811" t="n">
        <v>0</v>
      </c>
      <c r="O2811" t="n">
        <v>0</v>
      </c>
      <c r="P2811" t="n">
        <v>0</v>
      </c>
      <c r="Q2811" t="n">
        <v>0</v>
      </c>
      <c r="R2811" s="2" t="inlineStr"/>
    </row>
    <row r="2812" ht="15" customHeight="1">
      <c r="A2812" t="inlineStr">
        <is>
          <t>A 48956-2020</t>
        </is>
      </c>
      <c r="B2812" s="1" t="n">
        <v>44102</v>
      </c>
      <c r="C2812" s="1" t="n">
        <v>45210</v>
      </c>
      <c r="D2812" t="inlineStr">
        <is>
          <t>DALARNAS LÄN</t>
        </is>
      </c>
      <c r="E2812" t="inlineStr">
        <is>
          <t>ORSA</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48943-2020</t>
        </is>
      </c>
      <c r="B2813" s="1" t="n">
        <v>44102</v>
      </c>
      <c r="C2813" s="1" t="n">
        <v>45210</v>
      </c>
      <c r="D2813" t="inlineStr">
        <is>
          <t>DALARNAS LÄN</t>
        </is>
      </c>
      <c r="E2813" t="inlineStr">
        <is>
          <t>SMEDJEBACKEN</t>
        </is>
      </c>
      <c r="F2813" t="inlineStr">
        <is>
          <t>Kommuner</t>
        </is>
      </c>
      <c r="G2813" t="n">
        <v>5.6</v>
      </c>
      <c r="H2813" t="n">
        <v>0</v>
      </c>
      <c r="I2813" t="n">
        <v>0</v>
      </c>
      <c r="J2813" t="n">
        <v>0</v>
      </c>
      <c r="K2813" t="n">
        <v>0</v>
      </c>
      <c r="L2813" t="n">
        <v>0</v>
      </c>
      <c r="M2813" t="n">
        <v>0</v>
      </c>
      <c r="N2813" t="n">
        <v>0</v>
      </c>
      <c r="O2813" t="n">
        <v>0</v>
      </c>
      <c r="P2813" t="n">
        <v>0</v>
      </c>
      <c r="Q2813" t="n">
        <v>0</v>
      </c>
      <c r="R2813" s="2" t="inlineStr"/>
    </row>
    <row r="2814" ht="15" customHeight="1">
      <c r="A2814" t="inlineStr">
        <is>
          <t>A 48954-2020</t>
        </is>
      </c>
      <c r="B2814" s="1" t="n">
        <v>44102</v>
      </c>
      <c r="C2814" s="1" t="n">
        <v>45210</v>
      </c>
      <c r="D2814" t="inlineStr">
        <is>
          <t>DALARNAS LÄN</t>
        </is>
      </c>
      <c r="E2814" t="inlineStr">
        <is>
          <t>ORSA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49217-2020</t>
        </is>
      </c>
      <c r="B2815" s="1" t="n">
        <v>44102</v>
      </c>
      <c r="C2815" s="1" t="n">
        <v>45210</v>
      </c>
      <c r="D2815" t="inlineStr">
        <is>
          <t>DALARNAS LÄN</t>
        </is>
      </c>
      <c r="E2815" t="inlineStr">
        <is>
          <t>RÄTTVIK</t>
        </is>
      </c>
      <c r="G2815" t="n">
        <v>8.800000000000001</v>
      </c>
      <c r="H2815" t="n">
        <v>0</v>
      </c>
      <c r="I2815" t="n">
        <v>0</v>
      </c>
      <c r="J2815" t="n">
        <v>0</v>
      </c>
      <c r="K2815" t="n">
        <v>0</v>
      </c>
      <c r="L2815" t="n">
        <v>0</v>
      </c>
      <c r="M2815" t="n">
        <v>0</v>
      </c>
      <c r="N2815" t="n">
        <v>0</v>
      </c>
      <c r="O2815" t="n">
        <v>0</v>
      </c>
      <c r="P2815" t="n">
        <v>0</v>
      </c>
      <c r="Q2815" t="n">
        <v>0</v>
      </c>
      <c r="R2815" s="2" t="inlineStr"/>
    </row>
    <row r="2816" ht="15" customHeight="1">
      <c r="A2816" t="inlineStr">
        <is>
          <t>A 48500-2020</t>
        </is>
      </c>
      <c r="B2816" s="1" t="n">
        <v>44102</v>
      </c>
      <c r="C2816" s="1" t="n">
        <v>45210</v>
      </c>
      <c r="D2816" t="inlineStr">
        <is>
          <t>DALARNAS LÄN</t>
        </is>
      </c>
      <c r="E2816" t="inlineStr">
        <is>
          <t>SÄTER</t>
        </is>
      </c>
      <c r="F2816" t="inlineStr">
        <is>
          <t>Bergvik skog väst AB</t>
        </is>
      </c>
      <c r="G2816" t="n">
        <v>4.2</v>
      </c>
      <c r="H2816" t="n">
        <v>0</v>
      </c>
      <c r="I2816" t="n">
        <v>0</v>
      </c>
      <c r="J2816" t="n">
        <v>0</v>
      </c>
      <c r="K2816" t="n">
        <v>0</v>
      </c>
      <c r="L2816" t="n">
        <v>0</v>
      </c>
      <c r="M2816" t="n">
        <v>0</v>
      </c>
      <c r="N2816" t="n">
        <v>0</v>
      </c>
      <c r="O2816" t="n">
        <v>0</v>
      </c>
      <c r="P2816" t="n">
        <v>0</v>
      </c>
      <c r="Q2816" t="n">
        <v>0</v>
      </c>
      <c r="R2816" s="2" t="inlineStr"/>
    </row>
    <row r="2817" ht="15" customHeight="1">
      <c r="A2817" t="inlineStr">
        <is>
          <t>A 48525-2020</t>
        </is>
      </c>
      <c r="B2817" s="1" t="n">
        <v>44103</v>
      </c>
      <c r="C2817" s="1" t="n">
        <v>45210</v>
      </c>
      <c r="D2817" t="inlineStr">
        <is>
          <t>DALARNAS LÄN</t>
        </is>
      </c>
      <c r="E2817" t="inlineStr">
        <is>
          <t>MALUNG-SÄLEN</t>
        </is>
      </c>
      <c r="F2817" t="inlineStr">
        <is>
          <t>Bergvik skog öst AB</t>
        </is>
      </c>
      <c r="G2817" t="n">
        <v>3.7</v>
      </c>
      <c r="H2817" t="n">
        <v>0</v>
      </c>
      <c r="I2817" t="n">
        <v>0</v>
      </c>
      <c r="J2817" t="n">
        <v>0</v>
      </c>
      <c r="K2817" t="n">
        <v>0</v>
      </c>
      <c r="L2817" t="n">
        <v>0</v>
      </c>
      <c r="M2817" t="n">
        <v>0</v>
      </c>
      <c r="N2817" t="n">
        <v>0</v>
      </c>
      <c r="O2817" t="n">
        <v>0</v>
      </c>
      <c r="P2817" t="n">
        <v>0</v>
      </c>
      <c r="Q2817" t="n">
        <v>0</v>
      </c>
      <c r="R2817" s="2" t="inlineStr"/>
    </row>
    <row r="2818" ht="15" customHeight="1">
      <c r="A2818" t="inlineStr">
        <is>
          <t>A 48519-2020</t>
        </is>
      </c>
      <c r="B2818" s="1" t="n">
        <v>44103</v>
      </c>
      <c r="C2818" s="1" t="n">
        <v>45210</v>
      </c>
      <c r="D2818" t="inlineStr">
        <is>
          <t>DALARNAS LÄN</t>
        </is>
      </c>
      <c r="E2818" t="inlineStr">
        <is>
          <t>SÄTER</t>
        </is>
      </c>
      <c r="F2818" t="inlineStr">
        <is>
          <t>Bergvik skog väst AB</t>
        </is>
      </c>
      <c r="G2818" t="n">
        <v>3.8</v>
      </c>
      <c r="H2818" t="n">
        <v>0</v>
      </c>
      <c r="I2818" t="n">
        <v>0</v>
      </c>
      <c r="J2818" t="n">
        <v>0</v>
      </c>
      <c r="K2818" t="n">
        <v>0</v>
      </c>
      <c r="L2818" t="n">
        <v>0</v>
      </c>
      <c r="M2818" t="n">
        <v>0</v>
      </c>
      <c r="N2818" t="n">
        <v>0</v>
      </c>
      <c r="O2818" t="n">
        <v>0</v>
      </c>
      <c r="P2818" t="n">
        <v>0</v>
      </c>
      <c r="Q2818" t="n">
        <v>0</v>
      </c>
      <c r="R2818" s="2" t="inlineStr"/>
    </row>
    <row r="2819" ht="15" customHeight="1">
      <c r="A2819" t="inlineStr">
        <is>
          <t>A 48623-2020</t>
        </is>
      </c>
      <c r="B2819" s="1" t="n">
        <v>44103</v>
      </c>
      <c r="C2819" s="1" t="n">
        <v>45210</v>
      </c>
      <c r="D2819" t="inlineStr">
        <is>
          <t>DALARNAS LÄN</t>
        </is>
      </c>
      <c r="E2819" t="inlineStr">
        <is>
          <t>FALUN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48482-2020</t>
        </is>
      </c>
      <c r="B2820" s="1" t="n">
        <v>44103</v>
      </c>
      <c r="C2820" s="1" t="n">
        <v>45210</v>
      </c>
      <c r="D2820" t="inlineStr">
        <is>
          <t>DALARNAS LÄN</t>
        </is>
      </c>
      <c r="E2820" t="inlineStr">
        <is>
          <t>LUDVIKA</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48557-2020</t>
        </is>
      </c>
      <c r="B2821" s="1" t="n">
        <v>44103</v>
      </c>
      <c r="C2821" s="1" t="n">
        <v>45210</v>
      </c>
      <c r="D2821" t="inlineStr">
        <is>
          <t>DALARNAS LÄN</t>
        </is>
      </c>
      <c r="E2821" t="inlineStr">
        <is>
          <t>LUDVIKA</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48634-2020</t>
        </is>
      </c>
      <c r="B2822" s="1" t="n">
        <v>44103</v>
      </c>
      <c r="C2822" s="1" t="n">
        <v>45210</v>
      </c>
      <c r="D2822" t="inlineStr">
        <is>
          <t>DALARNAS LÄN</t>
        </is>
      </c>
      <c r="E2822" t="inlineStr">
        <is>
          <t>SMEDJEBACKEN</t>
        </is>
      </c>
      <c r="G2822" t="n">
        <v>6.4</v>
      </c>
      <c r="H2822" t="n">
        <v>0</v>
      </c>
      <c r="I2822" t="n">
        <v>0</v>
      </c>
      <c r="J2822" t="n">
        <v>0</v>
      </c>
      <c r="K2822" t="n">
        <v>0</v>
      </c>
      <c r="L2822" t="n">
        <v>0</v>
      </c>
      <c r="M2822" t="n">
        <v>0</v>
      </c>
      <c r="N2822" t="n">
        <v>0</v>
      </c>
      <c r="O2822" t="n">
        <v>0</v>
      </c>
      <c r="P2822" t="n">
        <v>0</v>
      </c>
      <c r="Q2822" t="n">
        <v>0</v>
      </c>
      <c r="R2822" s="2" t="inlineStr"/>
    </row>
    <row r="2823" ht="15" customHeight="1">
      <c r="A2823" t="inlineStr">
        <is>
          <t>A 48504-2020</t>
        </is>
      </c>
      <c r="B2823" s="1" t="n">
        <v>44103</v>
      </c>
      <c r="C2823" s="1" t="n">
        <v>45210</v>
      </c>
      <c r="D2823" t="inlineStr">
        <is>
          <t>DALARNAS LÄN</t>
        </is>
      </c>
      <c r="E2823" t="inlineStr">
        <is>
          <t>GAGNEF</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48941-2020</t>
        </is>
      </c>
      <c r="B2824" s="1" t="n">
        <v>44104</v>
      </c>
      <c r="C2824" s="1" t="n">
        <v>45210</v>
      </c>
      <c r="D2824" t="inlineStr">
        <is>
          <t>DALARNAS LÄN</t>
        </is>
      </c>
      <c r="E2824" t="inlineStr">
        <is>
          <t>RÄTTVIK</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50146-2020</t>
        </is>
      </c>
      <c r="B2825" s="1" t="n">
        <v>44104</v>
      </c>
      <c r="C2825" s="1" t="n">
        <v>45210</v>
      </c>
      <c r="D2825" t="inlineStr">
        <is>
          <t>DALARNAS LÄN</t>
        </is>
      </c>
      <c r="E2825" t="inlineStr">
        <is>
          <t>LUDVIKA</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50123-2020</t>
        </is>
      </c>
      <c r="B2826" s="1" t="n">
        <v>44104</v>
      </c>
      <c r="C2826" s="1" t="n">
        <v>45210</v>
      </c>
      <c r="D2826" t="inlineStr">
        <is>
          <t>DALARNAS LÄN</t>
        </is>
      </c>
      <c r="E2826" t="inlineStr">
        <is>
          <t>LEKSAND</t>
        </is>
      </c>
      <c r="F2826" t="inlineStr">
        <is>
          <t>Övriga Aktiebolag</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50164-2020</t>
        </is>
      </c>
      <c r="B2827" s="1" t="n">
        <v>44104</v>
      </c>
      <c r="C2827" s="1" t="n">
        <v>45210</v>
      </c>
      <c r="D2827" t="inlineStr">
        <is>
          <t>DALARNAS LÄN</t>
        </is>
      </c>
      <c r="E2827" t="inlineStr">
        <is>
          <t>BORLÄNGE</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50102-2020</t>
        </is>
      </c>
      <c r="B2828" s="1" t="n">
        <v>44104</v>
      </c>
      <c r="C2828" s="1" t="n">
        <v>45210</v>
      </c>
      <c r="D2828" t="inlineStr">
        <is>
          <t>DALARNAS LÄN</t>
        </is>
      </c>
      <c r="E2828" t="inlineStr">
        <is>
          <t>LEKSAND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49348-2020</t>
        </is>
      </c>
      <c r="B2829" s="1" t="n">
        <v>44105</v>
      </c>
      <c r="C2829" s="1" t="n">
        <v>45210</v>
      </c>
      <c r="D2829" t="inlineStr">
        <is>
          <t>DALARNAS LÄN</t>
        </is>
      </c>
      <c r="E2829" t="inlineStr">
        <is>
          <t>BORLÄNGE</t>
        </is>
      </c>
      <c r="F2829" t="inlineStr">
        <is>
          <t>Bergvik skog väst AB</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50463-2020</t>
        </is>
      </c>
      <c r="B2830" s="1" t="n">
        <v>44105</v>
      </c>
      <c r="C2830" s="1" t="n">
        <v>45210</v>
      </c>
      <c r="D2830" t="inlineStr">
        <is>
          <t>DALARNAS LÄN</t>
        </is>
      </c>
      <c r="E2830" t="inlineStr">
        <is>
          <t>SMEDJEBACKEN</t>
        </is>
      </c>
      <c r="F2830" t="inlineStr">
        <is>
          <t>Bergvik skog väst AB</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49271-2020</t>
        </is>
      </c>
      <c r="B2831" s="1" t="n">
        <v>44105</v>
      </c>
      <c r="C2831" s="1" t="n">
        <v>45210</v>
      </c>
      <c r="D2831" t="inlineStr">
        <is>
          <t>DALARNAS LÄN</t>
        </is>
      </c>
      <c r="E2831" t="inlineStr">
        <is>
          <t>HEDEMORA</t>
        </is>
      </c>
      <c r="F2831" t="inlineStr">
        <is>
          <t>Sveaskog</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50432-2020</t>
        </is>
      </c>
      <c r="B2832" s="1" t="n">
        <v>44105</v>
      </c>
      <c r="C2832" s="1" t="n">
        <v>45210</v>
      </c>
      <c r="D2832" t="inlineStr">
        <is>
          <t>DALARNAS LÄN</t>
        </is>
      </c>
      <c r="E2832" t="inlineStr">
        <is>
          <t>SMEDJEBACKEN</t>
        </is>
      </c>
      <c r="F2832" t="inlineStr">
        <is>
          <t>Bergvik skog väst AB</t>
        </is>
      </c>
      <c r="G2832" t="n">
        <v>1.8</v>
      </c>
      <c r="H2832" t="n">
        <v>0</v>
      </c>
      <c r="I2832" t="n">
        <v>0</v>
      </c>
      <c r="J2832" t="n">
        <v>0</v>
      </c>
      <c r="K2832" t="n">
        <v>0</v>
      </c>
      <c r="L2832" t="n">
        <v>0</v>
      </c>
      <c r="M2832" t="n">
        <v>0</v>
      </c>
      <c r="N2832" t="n">
        <v>0</v>
      </c>
      <c r="O2832" t="n">
        <v>0</v>
      </c>
      <c r="P2832" t="n">
        <v>0</v>
      </c>
      <c r="Q2832" t="n">
        <v>0</v>
      </c>
      <c r="R2832" s="2" t="inlineStr"/>
    </row>
    <row r="2833" ht="15" customHeight="1">
      <c r="A2833" t="inlineStr">
        <is>
          <t>A 50862-2020</t>
        </is>
      </c>
      <c r="B2833" s="1" t="n">
        <v>44105</v>
      </c>
      <c r="C2833" s="1" t="n">
        <v>45210</v>
      </c>
      <c r="D2833" t="inlineStr">
        <is>
          <t>DALARNAS LÄN</t>
        </is>
      </c>
      <c r="E2833" t="inlineStr">
        <is>
          <t>RÄTTVIK</t>
        </is>
      </c>
      <c r="G2833" t="n">
        <v>5.8</v>
      </c>
      <c r="H2833" t="n">
        <v>0</v>
      </c>
      <c r="I2833" t="n">
        <v>0</v>
      </c>
      <c r="J2833" t="n">
        <v>0</v>
      </c>
      <c r="K2833" t="n">
        <v>0</v>
      </c>
      <c r="L2833" t="n">
        <v>0</v>
      </c>
      <c r="M2833" t="n">
        <v>0</v>
      </c>
      <c r="N2833" t="n">
        <v>0</v>
      </c>
      <c r="O2833" t="n">
        <v>0</v>
      </c>
      <c r="P2833" t="n">
        <v>0</v>
      </c>
      <c r="Q2833" t="n">
        <v>0</v>
      </c>
      <c r="R2833" s="2" t="inlineStr"/>
    </row>
    <row r="2834" ht="15" customHeight="1">
      <c r="A2834" t="inlineStr">
        <is>
          <t>A 50446-2020</t>
        </is>
      </c>
      <c r="B2834" s="1" t="n">
        <v>44105</v>
      </c>
      <c r="C2834" s="1" t="n">
        <v>45210</v>
      </c>
      <c r="D2834" t="inlineStr">
        <is>
          <t>DALARNAS LÄN</t>
        </is>
      </c>
      <c r="E2834" t="inlineStr">
        <is>
          <t>SMEDJEBACKEN</t>
        </is>
      </c>
      <c r="F2834" t="inlineStr">
        <is>
          <t>Bergvik skog väst AB</t>
        </is>
      </c>
      <c r="G2834" t="n">
        <v>6.3</v>
      </c>
      <c r="H2834" t="n">
        <v>0</v>
      </c>
      <c r="I2834" t="n">
        <v>0</v>
      </c>
      <c r="J2834" t="n">
        <v>0</v>
      </c>
      <c r="K2834" t="n">
        <v>0</v>
      </c>
      <c r="L2834" t="n">
        <v>0</v>
      </c>
      <c r="M2834" t="n">
        <v>0</v>
      </c>
      <c r="N2834" t="n">
        <v>0</v>
      </c>
      <c r="O2834" t="n">
        <v>0</v>
      </c>
      <c r="P2834" t="n">
        <v>0</v>
      </c>
      <c r="Q2834" t="n">
        <v>0</v>
      </c>
      <c r="R2834" s="2" t="inlineStr"/>
    </row>
    <row r="2835" ht="15" customHeight="1">
      <c r="A2835" t="inlineStr">
        <is>
          <t>A 49649-2020</t>
        </is>
      </c>
      <c r="B2835" s="1" t="n">
        <v>44106</v>
      </c>
      <c r="C2835" s="1" t="n">
        <v>45210</v>
      </c>
      <c r="D2835" t="inlineStr">
        <is>
          <t>DALARNAS LÄN</t>
        </is>
      </c>
      <c r="E2835" t="inlineStr">
        <is>
          <t>VANSBRO</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49760-2020</t>
        </is>
      </c>
      <c r="B2836" s="1" t="n">
        <v>44106</v>
      </c>
      <c r="C2836" s="1" t="n">
        <v>45210</v>
      </c>
      <c r="D2836" t="inlineStr">
        <is>
          <t>DALARNAS LÄN</t>
        </is>
      </c>
      <c r="E2836" t="inlineStr">
        <is>
          <t>HEDEMORA</t>
        </is>
      </c>
      <c r="F2836" t="inlineStr">
        <is>
          <t>Sveaskog</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51205-2020</t>
        </is>
      </c>
      <c r="B2837" s="1" t="n">
        <v>44106</v>
      </c>
      <c r="C2837" s="1" t="n">
        <v>45210</v>
      </c>
      <c r="D2837" t="inlineStr">
        <is>
          <t>DALARNAS LÄN</t>
        </is>
      </c>
      <c r="E2837" t="inlineStr">
        <is>
          <t>SMEDJEBACKEN</t>
        </is>
      </c>
      <c r="G2837" t="n">
        <v>9.199999999999999</v>
      </c>
      <c r="H2837" t="n">
        <v>0</v>
      </c>
      <c r="I2837" t="n">
        <v>0</v>
      </c>
      <c r="J2837" t="n">
        <v>0</v>
      </c>
      <c r="K2837" t="n">
        <v>0</v>
      </c>
      <c r="L2837" t="n">
        <v>0</v>
      </c>
      <c r="M2837" t="n">
        <v>0</v>
      </c>
      <c r="N2837" t="n">
        <v>0</v>
      </c>
      <c r="O2837" t="n">
        <v>0</v>
      </c>
      <c r="P2837" t="n">
        <v>0</v>
      </c>
      <c r="Q2837" t="n">
        <v>0</v>
      </c>
      <c r="R2837" s="2" t="inlineStr"/>
    </row>
    <row r="2838" ht="15" customHeight="1">
      <c r="A2838" t="inlineStr">
        <is>
          <t>A 49587-2020</t>
        </is>
      </c>
      <c r="B2838" s="1" t="n">
        <v>44106</v>
      </c>
      <c r="C2838" s="1" t="n">
        <v>45210</v>
      </c>
      <c r="D2838" t="inlineStr">
        <is>
          <t>DALARNAS LÄN</t>
        </is>
      </c>
      <c r="E2838" t="inlineStr">
        <is>
          <t>ÄLVDALEN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49737-2020</t>
        </is>
      </c>
      <c r="B2839" s="1" t="n">
        <v>44106</v>
      </c>
      <c r="C2839" s="1" t="n">
        <v>45210</v>
      </c>
      <c r="D2839" t="inlineStr">
        <is>
          <t>DALARNAS LÄN</t>
        </is>
      </c>
      <c r="E2839" t="inlineStr">
        <is>
          <t>ÄLVDALEN</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51199-2020</t>
        </is>
      </c>
      <c r="B2840" s="1" t="n">
        <v>44106</v>
      </c>
      <c r="C2840" s="1" t="n">
        <v>45210</v>
      </c>
      <c r="D2840" t="inlineStr">
        <is>
          <t>DALARNAS LÄN</t>
        </is>
      </c>
      <c r="E2840" t="inlineStr">
        <is>
          <t>SMEDJEBACKEN</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49624-2020</t>
        </is>
      </c>
      <c r="B2841" s="1" t="n">
        <v>44106</v>
      </c>
      <c r="C2841" s="1" t="n">
        <v>45210</v>
      </c>
      <c r="D2841" t="inlineStr">
        <is>
          <t>DALARNAS LÄN</t>
        </is>
      </c>
      <c r="E2841" t="inlineStr">
        <is>
          <t>FALUN</t>
        </is>
      </c>
      <c r="F2841" t="inlineStr">
        <is>
          <t>Bergvik skog väst AB</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49758-2020</t>
        </is>
      </c>
      <c r="B2842" s="1" t="n">
        <v>44106</v>
      </c>
      <c r="C2842" s="1" t="n">
        <v>45210</v>
      </c>
      <c r="D2842" t="inlineStr">
        <is>
          <t>DALARNAS LÄN</t>
        </is>
      </c>
      <c r="E2842" t="inlineStr">
        <is>
          <t>HEDEMORA</t>
        </is>
      </c>
      <c r="F2842" t="inlineStr">
        <is>
          <t>Sveaskog</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49888-2020</t>
        </is>
      </c>
      <c r="B2843" s="1" t="n">
        <v>44108</v>
      </c>
      <c r="C2843" s="1" t="n">
        <v>45210</v>
      </c>
      <c r="D2843" t="inlineStr">
        <is>
          <t>DALARNAS LÄN</t>
        </is>
      </c>
      <c r="E2843" t="inlineStr">
        <is>
          <t>SMEDJEBACKEN</t>
        </is>
      </c>
      <c r="G2843" t="n">
        <v>7.7</v>
      </c>
      <c r="H2843" t="n">
        <v>0</v>
      </c>
      <c r="I2843" t="n">
        <v>0</v>
      </c>
      <c r="J2843" t="n">
        <v>0</v>
      </c>
      <c r="K2843" t="n">
        <v>0</v>
      </c>
      <c r="L2843" t="n">
        <v>0</v>
      </c>
      <c r="M2843" t="n">
        <v>0</v>
      </c>
      <c r="N2843" t="n">
        <v>0</v>
      </c>
      <c r="O2843" t="n">
        <v>0</v>
      </c>
      <c r="P2843" t="n">
        <v>0</v>
      </c>
      <c r="Q2843" t="n">
        <v>0</v>
      </c>
      <c r="R2843" s="2" t="inlineStr"/>
    </row>
    <row r="2844" ht="15" customHeight="1">
      <c r="A2844" t="inlineStr">
        <is>
          <t>A 49896-2020</t>
        </is>
      </c>
      <c r="B2844" s="1" t="n">
        <v>44108</v>
      </c>
      <c r="C2844" s="1" t="n">
        <v>45210</v>
      </c>
      <c r="D2844" t="inlineStr">
        <is>
          <t>DALARNAS LÄN</t>
        </is>
      </c>
      <c r="E2844" t="inlineStr">
        <is>
          <t>SMEDJEBACKEN</t>
        </is>
      </c>
      <c r="F2844" t="inlineStr">
        <is>
          <t>Bergvik skog väst AB</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49956-2020</t>
        </is>
      </c>
      <c r="B2845" s="1" t="n">
        <v>44109</v>
      </c>
      <c r="C2845" s="1" t="n">
        <v>45210</v>
      </c>
      <c r="D2845" t="inlineStr">
        <is>
          <t>DALARNAS LÄN</t>
        </is>
      </c>
      <c r="E2845" t="inlineStr">
        <is>
          <t>ÄLVDALEN</t>
        </is>
      </c>
      <c r="F2845" t="inlineStr">
        <is>
          <t>Övriga Aktiebolag</t>
        </is>
      </c>
      <c r="G2845" t="n">
        <v>25.8</v>
      </c>
      <c r="H2845" t="n">
        <v>0</v>
      </c>
      <c r="I2845" t="n">
        <v>0</v>
      </c>
      <c r="J2845" t="n">
        <v>0</v>
      </c>
      <c r="K2845" t="n">
        <v>0</v>
      </c>
      <c r="L2845" t="n">
        <v>0</v>
      </c>
      <c r="M2845" t="n">
        <v>0</v>
      </c>
      <c r="N2845" t="n">
        <v>0</v>
      </c>
      <c r="O2845" t="n">
        <v>0</v>
      </c>
      <c r="P2845" t="n">
        <v>0</v>
      </c>
      <c r="Q2845" t="n">
        <v>0</v>
      </c>
      <c r="R2845" s="2" t="inlineStr"/>
    </row>
    <row r="2846" ht="15" customHeight="1">
      <c r="A2846" t="inlineStr">
        <is>
          <t>A 50061-2020</t>
        </is>
      </c>
      <c r="B2846" s="1" t="n">
        <v>44109</v>
      </c>
      <c r="C2846" s="1" t="n">
        <v>45210</v>
      </c>
      <c r="D2846" t="inlineStr">
        <is>
          <t>DALARNAS LÄN</t>
        </is>
      </c>
      <c r="E2846" t="inlineStr">
        <is>
          <t>RÄTTVIK</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51621-2020</t>
        </is>
      </c>
      <c r="B2847" s="1" t="n">
        <v>44109</v>
      </c>
      <c r="C2847" s="1" t="n">
        <v>45210</v>
      </c>
      <c r="D2847" t="inlineStr">
        <is>
          <t>DALARNAS LÄN</t>
        </is>
      </c>
      <c r="E2847" t="inlineStr">
        <is>
          <t>MORA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49929-2020</t>
        </is>
      </c>
      <c r="B2848" s="1" t="n">
        <v>44109</v>
      </c>
      <c r="C2848" s="1" t="n">
        <v>45210</v>
      </c>
      <c r="D2848" t="inlineStr">
        <is>
          <t>DALARNAS LÄN</t>
        </is>
      </c>
      <c r="E2848" t="inlineStr">
        <is>
          <t>RÄTTVIK</t>
        </is>
      </c>
      <c r="F2848" t="inlineStr">
        <is>
          <t>Sveaskog</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49968-2020</t>
        </is>
      </c>
      <c r="B2849" s="1" t="n">
        <v>44109</v>
      </c>
      <c r="C2849" s="1" t="n">
        <v>45210</v>
      </c>
      <c r="D2849" t="inlineStr">
        <is>
          <t>DALARNAS LÄN</t>
        </is>
      </c>
      <c r="E2849" t="inlineStr">
        <is>
          <t>ÄLVDALEN</t>
        </is>
      </c>
      <c r="F2849" t="inlineStr">
        <is>
          <t>Övriga Aktiebolag</t>
        </is>
      </c>
      <c r="G2849" t="n">
        <v>11.8</v>
      </c>
      <c r="H2849" t="n">
        <v>0</v>
      </c>
      <c r="I2849" t="n">
        <v>0</v>
      </c>
      <c r="J2849" t="n">
        <v>0</v>
      </c>
      <c r="K2849" t="n">
        <v>0</v>
      </c>
      <c r="L2849" t="n">
        <v>0</v>
      </c>
      <c r="M2849" t="n">
        <v>0</v>
      </c>
      <c r="N2849" t="n">
        <v>0</v>
      </c>
      <c r="O2849" t="n">
        <v>0</v>
      </c>
      <c r="P2849" t="n">
        <v>0</v>
      </c>
      <c r="Q2849" t="n">
        <v>0</v>
      </c>
      <c r="R2849" s="2" t="inlineStr"/>
    </row>
    <row r="2850" ht="15" customHeight="1">
      <c r="A2850" t="inlineStr">
        <is>
          <t>A 51608-2020</t>
        </is>
      </c>
      <c r="B2850" s="1" t="n">
        <v>44109</v>
      </c>
      <c r="C2850" s="1" t="n">
        <v>45210</v>
      </c>
      <c r="D2850" t="inlineStr">
        <is>
          <t>DALARNAS LÄN</t>
        </is>
      </c>
      <c r="E2850" t="inlineStr">
        <is>
          <t>MORA</t>
        </is>
      </c>
      <c r="G2850" t="n">
        <v>4.6</v>
      </c>
      <c r="H2850" t="n">
        <v>0</v>
      </c>
      <c r="I2850" t="n">
        <v>0</v>
      </c>
      <c r="J2850" t="n">
        <v>0</v>
      </c>
      <c r="K2850" t="n">
        <v>0</v>
      </c>
      <c r="L2850" t="n">
        <v>0</v>
      </c>
      <c r="M2850" t="n">
        <v>0</v>
      </c>
      <c r="N2850" t="n">
        <v>0</v>
      </c>
      <c r="O2850" t="n">
        <v>0</v>
      </c>
      <c r="P2850" t="n">
        <v>0</v>
      </c>
      <c r="Q2850" t="n">
        <v>0</v>
      </c>
      <c r="R2850" s="2" t="inlineStr"/>
    </row>
    <row r="2851" ht="15" customHeight="1">
      <c r="A2851" t="inlineStr">
        <is>
          <t>A 49932-2020</t>
        </is>
      </c>
      <c r="B2851" s="1" t="n">
        <v>44109</v>
      </c>
      <c r="C2851" s="1" t="n">
        <v>45210</v>
      </c>
      <c r="D2851" t="inlineStr">
        <is>
          <t>DALARNAS LÄN</t>
        </is>
      </c>
      <c r="E2851" t="inlineStr">
        <is>
          <t>RÄTTVIK</t>
        </is>
      </c>
      <c r="F2851" t="inlineStr">
        <is>
          <t>Sveaskog</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50437-2020</t>
        </is>
      </c>
      <c r="B2852" s="1" t="n">
        <v>44110</v>
      </c>
      <c r="C2852" s="1" t="n">
        <v>45210</v>
      </c>
      <c r="D2852" t="inlineStr">
        <is>
          <t>DALARNAS LÄN</t>
        </is>
      </c>
      <c r="E2852" t="inlineStr">
        <is>
          <t>BORLÄNGE</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51998-2020</t>
        </is>
      </c>
      <c r="B2853" s="1" t="n">
        <v>44110</v>
      </c>
      <c r="C2853" s="1" t="n">
        <v>45210</v>
      </c>
      <c r="D2853" t="inlineStr">
        <is>
          <t>DALARNAS LÄN</t>
        </is>
      </c>
      <c r="E2853" t="inlineStr">
        <is>
          <t>FALUN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50441-2020</t>
        </is>
      </c>
      <c r="B2854" s="1" t="n">
        <v>44110</v>
      </c>
      <c r="C2854" s="1" t="n">
        <v>45210</v>
      </c>
      <c r="D2854" t="inlineStr">
        <is>
          <t>DALARNAS LÄN</t>
        </is>
      </c>
      <c r="E2854" t="inlineStr">
        <is>
          <t>BORLÄNGE</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50436-2020</t>
        </is>
      </c>
      <c r="B2855" s="1" t="n">
        <v>44110</v>
      </c>
      <c r="C2855" s="1" t="n">
        <v>45210</v>
      </c>
      <c r="D2855" t="inlineStr">
        <is>
          <t>DALARNAS LÄN</t>
        </is>
      </c>
      <c r="E2855" t="inlineStr">
        <is>
          <t>MALUNG-SÄLEN</t>
        </is>
      </c>
      <c r="F2855" t="inlineStr">
        <is>
          <t>Övriga statliga verk och myndigheter</t>
        </is>
      </c>
      <c r="G2855" t="n">
        <v>2.9</v>
      </c>
      <c r="H2855" t="n">
        <v>0</v>
      </c>
      <c r="I2855" t="n">
        <v>0</v>
      </c>
      <c r="J2855" t="n">
        <v>0</v>
      </c>
      <c r="K2855" t="n">
        <v>0</v>
      </c>
      <c r="L2855" t="n">
        <v>0</v>
      </c>
      <c r="M2855" t="n">
        <v>0</v>
      </c>
      <c r="N2855" t="n">
        <v>0</v>
      </c>
      <c r="O2855" t="n">
        <v>0</v>
      </c>
      <c r="P2855" t="n">
        <v>0</v>
      </c>
      <c r="Q2855" t="n">
        <v>0</v>
      </c>
      <c r="R2855" s="2" t="inlineStr"/>
    </row>
    <row r="2856" ht="15" customHeight="1">
      <c r="A2856" t="inlineStr">
        <is>
          <t>A 50459-2020</t>
        </is>
      </c>
      <c r="B2856" s="1" t="n">
        <v>44110</v>
      </c>
      <c r="C2856" s="1" t="n">
        <v>45210</v>
      </c>
      <c r="D2856" t="inlineStr">
        <is>
          <t>DALARNAS LÄN</t>
        </is>
      </c>
      <c r="E2856" t="inlineStr">
        <is>
          <t>BORLÄNGE</t>
        </is>
      </c>
      <c r="F2856" t="inlineStr">
        <is>
          <t>Bergvik skog väst AB</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50496-2020</t>
        </is>
      </c>
      <c r="B2857" s="1" t="n">
        <v>44110</v>
      </c>
      <c r="C2857" s="1" t="n">
        <v>45210</v>
      </c>
      <c r="D2857" t="inlineStr">
        <is>
          <t>DALARNAS LÄN</t>
        </is>
      </c>
      <c r="E2857" t="inlineStr">
        <is>
          <t>BORLÄNGE</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50505-2020</t>
        </is>
      </c>
      <c r="B2858" s="1" t="n">
        <v>44110</v>
      </c>
      <c r="C2858" s="1" t="n">
        <v>45210</v>
      </c>
      <c r="D2858" t="inlineStr">
        <is>
          <t>DALARNAS LÄN</t>
        </is>
      </c>
      <c r="E2858" t="inlineStr">
        <is>
          <t>GAGNEF</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50397-2020</t>
        </is>
      </c>
      <c r="B2859" s="1" t="n">
        <v>44110</v>
      </c>
      <c r="C2859" s="1" t="n">
        <v>45210</v>
      </c>
      <c r="D2859" t="inlineStr">
        <is>
          <t>DALARNAS LÄN</t>
        </is>
      </c>
      <c r="E2859" t="inlineStr">
        <is>
          <t>MALUNG-SÄLEN</t>
        </is>
      </c>
      <c r="G2859" t="n">
        <v>6.8</v>
      </c>
      <c r="H2859" t="n">
        <v>0</v>
      </c>
      <c r="I2859" t="n">
        <v>0</v>
      </c>
      <c r="J2859" t="n">
        <v>0</v>
      </c>
      <c r="K2859" t="n">
        <v>0</v>
      </c>
      <c r="L2859" t="n">
        <v>0</v>
      </c>
      <c r="M2859" t="n">
        <v>0</v>
      </c>
      <c r="N2859" t="n">
        <v>0</v>
      </c>
      <c r="O2859" t="n">
        <v>0</v>
      </c>
      <c r="P2859" t="n">
        <v>0</v>
      </c>
      <c r="Q2859" t="n">
        <v>0</v>
      </c>
      <c r="R2859" s="2" t="inlineStr"/>
    </row>
    <row r="2860" ht="15" customHeight="1">
      <c r="A2860" t="inlineStr">
        <is>
          <t>A 50604-2020</t>
        </is>
      </c>
      <c r="B2860" s="1" t="n">
        <v>44110</v>
      </c>
      <c r="C2860" s="1" t="n">
        <v>45210</v>
      </c>
      <c r="D2860" t="inlineStr">
        <is>
          <t>DALARNAS LÄN</t>
        </is>
      </c>
      <c r="E2860" t="inlineStr">
        <is>
          <t>RÄTTVIK</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52009-2020</t>
        </is>
      </c>
      <c r="B2861" s="1" t="n">
        <v>44111</v>
      </c>
      <c r="C2861" s="1" t="n">
        <v>45210</v>
      </c>
      <c r="D2861" t="inlineStr">
        <is>
          <t>DALARNAS LÄN</t>
        </is>
      </c>
      <c r="E2861" t="inlineStr">
        <is>
          <t>MALUNG-SÄLEN</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50758-2020</t>
        </is>
      </c>
      <c r="B2862" s="1" t="n">
        <v>44111</v>
      </c>
      <c r="C2862" s="1" t="n">
        <v>45210</v>
      </c>
      <c r="D2862" t="inlineStr">
        <is>
          <t>DALARNAS LÄN</t>
        </is>
      </c>
      <c r="E2862" t="inlineStr">
        <is>
          <t>GAGNEF</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50797-2020</t>
        </is>
      </c>
      <c r="B2863" s="1" t="n">
        <v>44111</v>
      </c>
      <c r="C2863" s="1" t="n">
        <v>45210</v>
      </c>
      <c r="D2863" t="inlineStr">
        <is>
          <t>DALARNAS LÄN</t>
        </is>
      </c>
      <c r="E2863" t="inlineStr">
        <is>
          <t>FALUN</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51094-2020</t>
        </is>
      </c>
      <c r="B2864" s="1" t="n">
        <v>44112</v>
      </c>
      <c r="C2864" s="1" t="n">
        <v>45210</v>
      </c>
      <c r="D2864" t="inlineStr">
        <is>
          <t>DALARNAS LÄN</t>
        </is>
      </c>
      <c r="E2864" t="inlineStr">
        <is>
          <t>ORSA</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52401-2020</t>
        </is>
      </c>
      <c r="B2865" s="1" t="n">
        <v>44113</v>
      </c>
      <c r="C2865" s="1" t="n">
        <v>45210</v>
      </c>
      <c r="D2865" t="inlineStr">
        <is>
          <t>DALARNAS LÄN</t>
        </is>
      </c>
      <c r="E2865" t="inlineStr">
        <is>
          <t>ÄLVDALEN</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51474-2020</t>
        </is>
      </c>
      <c r="B2866" s="1" t="n">
        <v>44113</v>
      </c>
      <c r="C2866" s="1" t="n">
        <v>45210</v>
      </c>
      <c r="D2866" t="inlineStr">
        <is>
          <t>DALARNAS LÄN</t>
        </is>
      </c>
      <c r="E2866" t="inlineStr">
        <is>
          <t>GAGNEF</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51439-2020</t>
        </is>
      </c>
      <c r="B2867" s="1" t="n">
        <v>44113</v>
      </c>
      <c r="C2867" s="1" t="n">
        <v>45210</v>
      </c>
      <c r="D2867" t="inlineStr">
        <is>
          <t>DALARNAS LÄN</t>
        </is>
      </c>
      <c r="E2867" t="inlineStr">
        <is>
          <t>LUDVIKA</t>
        </is>
      </c>
      <c r="F2867" t="inlineStr">
        <is>
          <t>Sveaskog</t>
        </is>
      </c>
      <c r="G2867" t="n">
        <v>10</v>
      </c>
      <c r="H2867" t="n">
        <v>0</v>
      </c>
      <c r="I2867" t="n">
        <v>0</v>
      </c>
      <c r="J2867" t="n">
        <v>0</v>
      </c>
      <c r="K2867" t="n">
        <v>0</v>
      </c>
      <c r="L2867" t="n">
        <v>0</v>
      </c>
      <c r="M2867" t="n">
        <v>0</v>
      </c>
      <c r="N2867" t="n">
        <v>0</v>
      </c>
      <c r="O2867" t="n">
        <v>0</v>
      </c>
      <c r="P2867" t="n">
        <v>0</v>
      </c>
      <c r="Q2867" t="n">
        <v>0</v>
      </c>
      <c r="R2867" s="2" t="inlineStr"/>
    </row>
    <row r="2868" ht="15" customHeight="1">
      <c r="A2868" t="inlineStr">
        <is>
          <t>A 51495-2020</t>
        </is>
      </c>
      <c r="B2868" s="1" t="n">
        <v>44113</v>
      </c>
      <c r="C2868" s="1" t="n">
        <v>45210</v>
      </c>
      <c r="D2868" t="inlineStr">
        <is>
          <t>DALARNAS LÄN</t>
        </is>
      </c>
      <c r="E2868" t="inlineStr">
        <is>
          <t>HEDEMORA</t>
        </is>
      </c>
      <c r="F2868" t="inlineStr">
        <is>
          <t>Sveaskog</t>
        </is>
      </c>
      <c r="G2868" t="n">
        <v>9.699999999999999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51747-2020</t>
        </is>
      </c>
      <c r="B2869" s="1" t="n">
        <v>44114</v>
      </c>
      <c r="C2869" s="1" t="n">
        <v>45210</v>
      </c>
      <c r="D2869" t="inlineStr">
        <is>
          <t>DALARNAS LÄN</t>
        </is>
      </c>
      <c r="E2869" t="inlineStr">
        <is>
          <t>FALUN</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51761-2020</t>
        </is>
      </c>
      <c r="B2870" s="1" t="n">
        <v>44115</v>
      </c>
      <c r="C2870" s="1" t="n">
        <v>45210</v>
      </c>
      <c r="D2870" t="inlineStr">
        <is>
          <t>DALARNAS LÄN</t>
        </is>
      </c>
      <c r="E2870" t="inlineStr">
        <is>
          <t>SMEDJEBACKEN</t>
        </is>
      </c>
      <c r="G2870" t="n">
        <v>10.6</v>
      </c>
      <c r="H2870" t="n">
        <v>0</v>
      </c>
      <c r="I2870" t="n">
        <v>0</v>
      </c>
      <c r="J2870" t="n">
        <v>0</v>
      </c>
      <c r="K2870" t="n">
        <v>0</v>
      </c>
      <c r="L2870" t="n">
        <v>0</v>
      </c>
      <c r="M2870" t="n">
        <v>0</v>
      </c>
      <c r="N2870" t="n">
        <v>0</v>
      </c>
      <c r="O2870" t="n">
        <v>0</v>
      </c>
      <c r="P2870" t="n">
        <v>0</v>
      </c>
      <c r="Q2870" t="n">
        <v>0</v>
      </c>
      <c r="R2870" s="2" t="inlineStr"/>
    </row>
    <row r="2871" ht="15" customHeight="1">
      <c r="A2871" t="inlineStr">
        <is>
          <t>A 51770-2020</t>
        </is>
      </c>
      <c r="B2871" s="1" t="n">
        <v>44115</v>
      </c>
      <c r="C2871" s="1" t="n">
        <v>45210</v>
      </c>
      <c r="D2871" t="inlineStr">
        <is>
          <t>DALARNAS LÄN</t>
        </is>
      </c>
      <c r="E2871" t="inlineStr">
        <is>
          <t>SMEDJEBACKEN</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51775-2020</t>
        </is>
      </c>
      <c r="B2872" s="1" t="n">
        <v>44115</v>
      </c>
      <c r="C2872" s="1" t="n">
        <v>45210</v>
      </c>
      <c r="D2872" t="inlineStr">
        <is>
          <t>DALARNAS LÄN</t>
        </is>
      </c>
      <c r="E2872" t="inlineStr">
        <is>
          <t>SMEDJEBACKEN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51774-2020</t>
        </is>
      </c>
      <c r="B2873" s="1" t="n">
        <v>44115</v>
      </c>
      <c r="C2873" s="1" t="n">
        <v>45210</v>
      </c>
      <c r="D2873" t="inlineStr">
        <is>
          <t>DALARNAS LÄN</t>
        </is>
      </c>
      <c r="E2873" t="inlineStr">
        <is>
          <t>SMEDJEBACKEN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51776-2020</t>
        </is>
      </c>
      <c r="B2874" s="1" t="n">
        <v>44116</v>
      </c>
      <c r="C2874" s="1" t="n">
        <v>45210</v>
      </c>
      <c r="D2874" t="inlineStr">
        <is>
          <t>DALARNAS LÄN</t>
        </is>
      </c>
      <c r="E2874" t="inlineStr">
        <is>
          <t>SMEDJEBACKEN</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51777-2020</t>
        </is>
      </c>
      <c r="B2875" s="1" t="n">
        <v>44116</v>
      </c>
      <c r="C2875" s="1" t="n">
        <v>45210</v>
      </c>
      <c r="D2875" t="inlineStr">
        <is>
          <t>DALARNAS LÄN</t>
        </is>
      </c>
      <c r="E2875" t="inlineStr">
        <is>
          <t>LUDVIKA</t>
        </is>
      </c>
      <c r="G2875" t="n">
        <v>11.2</v>
      </c>
      <c r="H2875" t="n">
        <v>0</v>
      </c>
      <c r="I2875" t="n">
        <v>0</v>
      </c>
      <c r="J2875" t="n">
        <v>0</v>
      </c>
      <c r="K2875" t="n">
        <v>0</v>
      </c>
      <c r="L2875" t="n">
        <v>0</v>
      </c>
      <c r="M2875" t="n">
        <v>0</v>
      </c>
      <c r="N2875" t="n">
        <v>0</v>
      </c>
      <c r="O2875" t="n">
        <v>0</v>
      </c>
      <c r="P2875" t="n">
        <v>0</v>
      </c>
      <c r="Q2875" t="n">
        <v>0</v>
      </c>
      <c r="R2875" s="2" t="inlineStr"/>
    </row>
    <row r="2876" ht="15" customHeight="1">
      <c r="A2876" t="inlineStr">
        <is>
          <t>A 51895-2020</t>
        </is>
      </c>
      <c r="B2876" s="1" t="n">
        <v>44116</v>
      </c>
      <c r="C2876" s="1" t="n">
        <v>45210</v>
      </c>
      <c r="D2876" t="inlineStr">
        <is>
          <t>DALARNAS LÄN</t>
        </is>
      </c>
      <c r="E2876" t="inlineStr">
        <is>
          <t>LUDVIKA</t>
        </is>
      </c>
      <c r="F2876" t="inlineStr">
        <is>
          <t>Bergvik skog väst AB</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52495-2020</t>
        </is>
      </c>
      <c r="B2877" s="1" t="n">
        <v>44116</v>
      </c>
      <c r="C2877" s="1" t="n">
        <v>45210</v>
      </c>
      <c r="D2877" t="inlineStr">
        <is>
          <t>DALARNAS LÄN</t>
        </is>
      </c>
      <c r="E2877" t="inlineStr">
        <is>
          <t>ORSA</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52194-2020</t>
        </is>
      </c>
      <c r="B2878" s="1" t="n">
        <v>44117</v>
      </c>
      <c r="C2878" s="1" t="n">
        <v>45210</v>
      </c>
      <c r="D2878" t="inlineStr">
        <is>
          <t>DALARNAS LÄN</t>
        </is>
      </c>
      <c r="E2878" t="inlineStr">
        <is>
          <t>RÄTTVIK</t>
        </is>
      </c>
      <c r="F2878" t="inlineStr">
        <is>
          <t>Bergvik skog väst AB</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52312-2020</t>
        </is>
      </c>
      <c r="B2879" s="1" t="n">
        <v>44117</v>
      </c>
      <c r="C2879" s="1" t="n">
        <v>45210</v>
      </c>
      <c r="D2879" t="inlineStr">
        <is>
          <t>DALARNAS LÄN</t>
        </is>
      </c>
      <c r="E2879" t="inlineStr">
        <is>
          <t>AVESTA</t>
        </is>
      </c>
      <c r="G2879" t="n">
        <v>4.5</v>
      </c>
      <c r="H2879" t="n">
        <v>0</v>
      </c>
      <c r="I2879" t="n">
        <v>0</v>
      </c>
      <c r="J2879" t="n">
        <v>0</v>
      </c>
      <c r="K2879" t="n">
        <v>0</v>
      </c>
      <c r="L2879" t="n">
        <v>0</v>
      </c>
      <c r="M2879" t="n">
        <v>0</v>
      </c>
      <c r="N2879" t="n">
        <v>0</v>
      </c>
      <c r="O2879" t="n">
        <v>0</v>
      </c>
      <c r="P2879" t="n">
        <v>0</v>
      </c>
      <c r="Q2879" t="n">
        <v>0</v>
      </c>
      <c r="R2879" s="2" t="inlineStr"/>
    </row>
    <row r="2880" ht="15" customHeight="1">
      <c r="A2880" t="inlineStr">
        <is>
          <t>A 52313-2020</t>
        </is>
      </c>
      <c r="B2880" s="1" t="n">
        <v>44117</v>
      </c>
      <c r="C2880" s="1" t="n">
        <v>45210</v>
      </c>
      <c r="D2880" t="inlineStr">
        <is>
          <t>DALARNAS LÄN</t>
        </is>
      </c>
      <c r="E2880" t="inlineStr">
        <is>
          <t>AVESTA</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52271-2020</t>
        </is>
      </c>
      <c r="B2881" s="1" t="n">
        <v>44117</v>
      </c>
      <c r="C2881" s="1" t="n">
        <v>45210</v>
      </c>
      <c r="D2881" t="inlineStr">
        <is>
          <t>DALARNAS LÄN</t>
        </is>
      </c>
      <c r="E2881" t="inlineStr">
        <is>
          <t>FALUN</t>
        </is>
      </c>
      <c r="F2881" t="inlineStr">
        <is>
          <t>Sveaskog</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52732-2020</t>
        </is>
      </c>
      <c r="B2882" s="1" t="n">
        <v>44118</v>
      </c>
      <c r="C2882" s="1" t="n">
        <v>45210</v>
      </c>
      <c r="D2882" t="inlineStr">
        <is>
          <t>DALARNAS LÄN</t>
        </is>
      </c>
      <c r="E2882" t="inlineStr">
        <is>
          <t>MORA</t>
        </is>
      </c>
      <c r="G2882" t="n">
        <v>3.9</v>
      </c>
      <c r="H2882" t="n">
        <v>0</v>
      </c>
      <c r="I2882" t="n">
        <v>0</v>
      </c>
      <c r="J2882" t="n">
        <v>0</v>
      </c>
      <c r="K2882" t="n">
        <v>0</v>
      </c>
      <c r="L2882" t="n">
        <v>0</v>
      </c>
      <c r="M2882" t="n">
        <v>0</v>
      </c>
      <c r="N2882" t="n">
        <v>0</v>
      </c>
      <c r="O2882" t="n">
        <v>0</v>
      </c>
      <c r="P2882" t="n">
        <v>0</v>
      </c>
      <c r="Q2882" t="n">
        <v>0</v>
      </c>
      <c r="R2882" s="2" t="inlineStr"/>
    </row>
    <row r="2883" ht="15" customHeight="1">
      <c r="A2883" t="inlineStr">
        <is>
          <t>A 52425-2020</t>
        </is>
      </c>
      <c r="B2883" s="1" t="n">
        <v>44118</v>
      </c>
      <c r="C2883" s="1" t="n">
        <v>45210</v>
      </c>
      <c r="D2883" t="inlineStr">
        <is>
          <t>DALARNAS LÄN</t>
        </is>
      </c>
      <c r="E2883" t="inlineStr">
        <is>
          <t>LUDVIKA</t>
        </is>
      </c>
      <c r="F2883" t="inlineStr">
        <is>
          <t>Bergvik skog väst AB</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52515-2020</t>
        </is>
      </c>
      <c r="B2884" s="1" t="n">
        <v>44118</v>
      </c>
      <c r="C2884" s="1" t="n">
        <v>45210</v>
      </c>
      <c r="D2884" t="inlineStr">
        <is>
          <t>DALARNAS LÄN</t>
        </is>
      </c>
      <c r="E2884" t="inlineStr">
        <is>
          <t>BORLÄNGE</t>
        </is>
      </c>
      <c r="F2884" t="inlineStr">
        <is>
          <t>Bergvik skog väst AB</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52373-2020</t>
        </is>
      </c>
      <c r="B2885" s="1" t="n">
        <v>44118</v>
      </c>
      <c r="C2885" s="1" t="n">
        <v>45210</v>
      </c>
      <c r="D2885" t="inlineStr">
        <is>
          <t>DALARNAS LÄN</t>
        </is>
      </c>
      <c r="E2885" t="inlineStr">
        <is>
          <t>AVESTA</t>
        </is>
      </c>
      <c r="F2885" t="inlineStr">
        <is>
          <t>Sveaskog</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52748-2020</t>
        </is>
      </c>
      <c r="B2886" s="1" t="n">
        <v>44119</v>
      </c>
      <c r="C2886" s="1" t="n">
        <v>45210</v>
      </c>
      <c r="D2886" t="inlineStr">
        <is>
          <t>DALARNAS LÄN</t>
        </is>
      </c>
      <c r="E2886" t="inlineStr">
        <is>
          <t>LUDVIKA</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52888-2020</t>
        </is>
      </c>
      <c r="B2887" s="1" t="n">
        <v>44119</v>
      </c>
      <c r="C2887" s="1" t="n">
        <v>45210</v>
      </c>
      <c r="D2887" t="inlineStr">
        <is>
          <t>DALARNAS LÄN</t>
        </is>
      </c>
      <c r="E2887" t="inlineStr">
        <is>
          <t>AVESTA</t>
        </is>
      </c>
      <c r="F2887" t="inlineStr">
        <is>
          <t>Sveaskog</t>
        </is>
      </c>
      <c r="G2887" t="n">
        <v>4.1</v>
      </c>
      <c r="H2887" t="n">
        <v>0</v>
      </c>
      <c r="I2887" t="n">
        <v>0</v>
      </c>
      <c r="J2887" t="n">
        <v>0</v>
      </c>
      <c r="K2887" t="n">
        <v>0</v>
      </c>
      <c r="L2887" t="n">
        <v>0</v>
      </c>
      <c r="M2887" t="n">
        <v>0</v>
      </c>
      <c r="N2887" t="n">
        <v>0</v>
      </c>
      <c r="O2887" t="n">
        <v>0</v>
      </c>
      <c r="P2887" t="n">
        <v>0</v>
      </c>
      <c r="Q2887" t="n">
        <v>0</v>
      </c>
      <c r="R2887" s="2" t="inlineStr"/>
    </row>
    <row r="2888" ht="15" customHeight="1">
      <c r="A2888" t="inlineStr">
        <is>
          <t>A 52853-2020</t>
        </is>
      </c>
      <c r="B2888" s="1" t="n">
        <v>44119</v>
      </c>
      <c r="C2888" s="1" t="n">
        <v>45210</v>
      </c>
      <c r="D2888" t="inlineStr">
        <is>
          <t>DALARNAS LÄN</t>
        </is>
      </c>
      <c r="E2888" t="inlineStr">
        <is>
          <t>LUDVIKA</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52887-2020</t>
        </is>
      </c>
      <c r="B2889" s="1" t="n">
        <v>44119</v>
      </c>
      <c r="C2889" s="1" t="n">
        <v>45210</v>
      </c>
      <c r="D2889" t="inlineStr">
        <is>
          <t>DALARNAS LÄN</t>
        </is>
      </c>
      <c r="E2889" t="inlineStr">
        <is>
          <t>AVESTA</t>
        </is>
      </c>
      <c r="F2889" t="inlineStr">
        <is>
          <t>Sveaskog</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52929-2020</t>
        </is>
      </c>
      <c r="B2890" s="1" t="n">
        <v>44120</v>
      </c>
      <c r="C2890" s="1" t="n">
        <v>45210</v>
      </c>
      <c r="D2890" t="inlineStr">
        <is>
          <t>DALARNAS LÄN</t>
        </is>
      </c>
      <c r="E2890" t="inlineStr">
        <is>
          <t>LUDVIKA</t>
        </is>
      </c>
      <c r="F2890" t="inlineStr">
        <is>
          <t>Bergvik skog väst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52943-2020</t>
        </is>
      </c>
      <c r="B2891" s="1" t="n">
        <v>44120</v>
      </c>
      <c r="C2891" s="1" t="n">
        <v>45210</v>
      </c>
      <c r="D2891" t="inlineStr">
        <is>
          <t>DALARNAS LÄN</t>
        </is>
      </c>
      <c r="E2891" t="inlineStr">
        <is>
          <t>BORLÄNGE</t>
        </is>
      </c>
      <c r="F2891" t="inlineStr">
        <is>
          <t>Kommuner</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52957-2020</t>
        </is>
      </c>
      <c r="B2892" s="1" t="n">
        <v>44120</v>
      </c>
      <c r="C2892" s="1" t="n">
        <v>45210</v>
      </c>
      <c r="D2892" t="inlineStr">
        <is>
          <t>DALARNAS LÄN</t>
        </is>
      </c>
      <c r="E2892" t="inlineStr">
        <is>
          <t>BORLÄNGE</t>
        </is>
      </c>
      <c r="F2892" t="inlineStr">
        <is>
          <t>Kommuner</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53038-2020</t>
        </is>
      </c>
      <c r="B2893" s="1" t="n">
        <v>44120</v>
      </c>
      <c r="C2893" s="1" t="n">
        <v>45210</v>
      </c>
      <c r="D2893" t="inlineStr">
        <is>
          <t>DALARNAS LÄN</t>
        </is>
      </c>
      <c r="E2893" t="inlineStr">
        <is>
          <t>VANSBRO</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53227-2020</t>
        </is>
      </c>
      <c r="B2894" s="1" t="n">
        <v>44123</v>
      </c>
      <c r="C2894" s="1" t="n">
        <v>45210</v>
      </c>
      <c r="D2894" t="inlineStr">
        <is>
          <t>DALARNAS LÄN</t>
        </is>
      </c>
      <c r="E2894" t="inlineStr">
        <is>
          <t>VANSBRO</t>
        </is>
      </c>
      <c r="F2894" t="inlineStr">
        <is>
          <t>Bergvik skog öst AB</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53236-2020</t>
        </is>
      </c>
      <c r="B2895" s="1" t="n">
        <v>44123</v>
      </c>
      <c r="C2895" s="1" t="n">
        <v>45210</v>
      </c>
      <c r="D2895" t="inlineStr">
        <is>
          <t>DALARNAS LÄN</t>
        </is>
      </c>
      <c r="E2895" t="inlineStr">
        <is>
          <t>VANSBRO</t>
        </is>
      </c>
      <c r="F2895" t="inlineStr">
        <is>
          <t>Bergvik skog öst AB</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53960-2020</t>
        </is>
      </c>
      <c r="B2896" s="1" t="n">
        <v>44123</v>
      </c>
      <c r="C2896" s="1" t="n">
        <v>45210</v>
      </c>
      <c r="D2896" t="inlineStr">
        <is>
          <t>DALARNAS LÄN</t>
        </is>
      </c>
      <c r="E2896" t="inlineStr">
        <is>
          <t>LUDVIKA</t>
        </is>
      </c>
      <c r="G2896" t="n">
        <v>3.5</v>
      </c>
      <c r="H2896" t="n">
        <v>0</v>
      </c>
      <c r="I2896" t="n">
        <v>0</v>
      </c>
      <c r="J2896" t="n">
        <v>0</v>
      </c>
      <c r="K2896" t="n">
        <v>0</v>
      </c>
      <c r="L2896" t="n">
        <v>0</v>
      </c>
      <c r="M2896" t="n">
        <v>0</v>
      </c>
      <c r="N2896" t="n">
        <v>0</v>
      </c>
      <c r="O2896" t="n">
        <v>0</v>
      </c>
      <c r="P2896" t="n">
        <v>0</v>
      </c>
      <c r="Q2896" t="n">
        <v>0</v>
      </c>
      <c r="R2896" s="2" t="inlineStr"/>
    </row>
    <row r="2897" ht="15" customHeight="1">
      <c r="A2897" t="inlineStr">
        <is>
          <t>A 53267-2020</t>
        </is>
      </c>
      <c r="B2897" s="1" t="n">
        <v>44123</v>
      </c>
      <c r="C2897" s="1" t="n">
        <v>45210</v>
      </c>
      <c r="D2897" t="inlineStr">
        <is>
          <t>DALARNAS LÄN</t>
        </is>
      </c>
      <c r="E2897" t="inlineStr">
        <is>
          <t>VANSBRO</t>
        </is>
      </c>
      <c r="F2897" t="inlineStr">
        <is>
          <t>Bergvik skog öst AB</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53570-2020</t>
        </is>
      </c>
      <c r="B2898" s="1" t="n">
        <v>44124</v>
      </c>
      <c r="C2898" s="1" t="n">
        <v>45210</v>
      </c>
      <c r="D2898" t="inlineStr">
        <is>
          <t>DALARNAS LÄN</t>
        </is>
      </c>
      <c r="E2898" t="inlineStr">
        <is>
          <t>SMEDJEBACKEN</t>
        </is>
      </c>
      <c r="F2898" t="inlineStr">
        <is>
          <t>Sveaskog</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53576-2020</t>
        </is>
      </c>
      <c r="B2899" s="1" t="n">
        <v>44124</v>
      </c>
      <c r="C2899" s="1" t="n">
        <v>45210</v>
      </c>
      <c r="D2899" t="inlineStr">
        <is>
          <t>DALARNAS LÄN</t>
        </is>
      </c>
      <c r="E2899" t="inlineStr">
        <is>
          <t>SMEDJEBACKEN</t>
        </is>
      </c>
      <c r="F2899" t="inlineStr">
        <is>
          <t>Sveaskog</t>
        </is>
      </c>
      <c r="G2899" t="n">
        <v>3.9</v>
      </c>
      <c r="H2899" t="n">
        <v>0</v>
      </c>
      <c r="I2899" t="n">
        <v>0</v>
      </c>
      <c r="J2899" t="n">
        <v>0</v>
      </c>
      <c r="K2899" t="n">
        <v>0</v>
      </c>
      <c r="L2899" t="n">
        <v>0</v>
      </c>
      <c r="M2899" t="n">
        <v>0</v>
      </c>
      <c r="N2899" t="n">
        <v>0</v>
      </c>
      <c r="O2899" t="n">
        <v>0</v>
      </c>
      <c r="P2899" t="n">
        <v>0</v>
      </c>
      <c r="Q2899" t="n">
        <v>0</v>
      </c>
      <c r="R2899" s="2" t="inlineStr"/>
    </row>
    <row r="2900" ht="15" customHeight="1">
      <c r="A2900" t="inlineStr">
        <is>
          <t>A 53575-2020</t>
        </is>
      </c>
      <c r="B2900" s="1" t="n">
        <v>44124</v>
      </c>
      <c r="C2900" s="1" t="n">
        <v>45210</v>
      </c>
      <c r="D2900" t="inlineStr">
        <is>
          <t>DALARNAS LÄN</t>
        </is>
      </c>
      <c r="E2900" t="inlineStr">
        <is>
          <t>SMEDJEBACKEN</t>
        </is>
      </c>
      <c r="F2900" t="inlineStr">
        <is>
          <t>Sveaskog</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53518-2020</t>
        </is>
      </c>
      <c r="B2901" s="1" t="n">
        <v>44124</v>
      </c>
      <c r="C2901" s="1" t="n">
        <v>45210</v>
      </c>
      <c r="D2901" t="inlineStr">
        <is>
          <t>DALARNAS LÄN</t>
        </is>
      </c>
      <c r="E2901" t="inlineStr">
        <is>
          <t>SÄTER</t>
        </is>
      </c>
      <c r="G2901" t="n">
        <v>4.4</v>
      </c>
      <c r="H2901" t="n">
        <v>0</v>
      </c>
      <c r="I2901" t="n">
        <v>0</v>
      </c>
      <c r="J2901" t="n">
        <v>0</v>
      </c>
      <c r="K2901" t="n">
        <v>0</v>
      </c>
      <c r="L2901" t="n">
        <v>0</v>
      </c>
      <c r="M2901" t="n">
        <v>0</v>
      </c>
      <c r="N2901" t="n">
        <v>0</v>
      </c>
      <c r="O2901" t="n">
        <v>0</v>
      </c>
      <c r="P2901" t="n">
        <v>0</v>
      </c>
      <c r="Q2901" t="n">
        <v>0</v>
      </c>
      <c r="R2901" s="2" t="inlineStr"/>
    </row>
    <row r="2902" ht="15" customHeight="1">
      <c r="A2902" t="inlineStr">
        <is>
          <t>A 53572-2020</t>
        </is>
      </c>
      <c r="B2902" s="1" t="n">
        <v>44124</v>
      </c>
      <c r="C2902" s="1" t="n">
        <v>45210</v>
      </c>
      <c r="D2902" t="inlineStr">
        <is>
          <t>DALARNAS LÄN</t>
        </is>
      </c>
      <c r="E2902" t="inlineStr">
        <is>
          <t>SMEDJEBACKEN</t>
        </is>
      </c>
      <c r="F2902" t="inlineStr">
        <is>
          <t>Sveaskog</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53577-2020</t>
        </is>
      </c>
      <c r="B2903" s="1" t="n">
        <v>44124</v>
      </c>
      <c r="C2903" s="1" t="n">
        <v>45210</v>
      </c>
      <c r="D2903" t="inlineStr">
        <is>
          <t>DALARNAS LÄN</t>
        </is>
      </c>
      <c r="E2903" t="inlineStr">
        <is>
          <t>SMEDJEBACKEN</t>
        </is>
      </c>
      <c r="F2903" t="inlineStr">
        <is>
          <t>Sveaskog</t>
        </is>
      </c>
      <c r="G2903" t="n">
        <v>4.9</v>
      </c>
      <c r="H2903" t="n">
        <v>0</v>
      </c>
      <c r="I2903" t="n">
        <v>0</v>
      </c>
      <c r="J2903" t="n">
        <v>0</v>
      </c>
      <c r="K2903" t="n">
        <v>0</v>
      </c>
      <c r="L2903" t="n">
        <v>0</v>
      </c>
      <c r="M2903" t="n">
        <v>0</v>
      </c>
      <c r="N2903" t="n">
        <v>0</v>
      </c>
      <c r="O2903" t="n">
        <v>0</v>
      </c>
      <c r="P2903" t="n">
        <v>0</v>
      </c>
      <c r="Q2903" t="n">
        <v>0</v>
      </c>
      <c r="R2903" s="2" t="inlineStr"/>
    </row>
    <row r="2904" ht="15" customHeight="1">
      <c r="A2904" t="inlineStr">
        <is>
          <t>A 53756-2020</t>
        </is>
      </c>
      <c r="B2904" s="1" t="n">
        <v>44124</v>
      </c>
      <c r="C2904" s="1" t="n">
        <v>45210</v>
      </c>
      <c r="D2904" t="inlineStr">
        <is>
          <t>DALARNAS LÄN</t>
        </is>
      </c>
      <c r="E2904" t="inlineStr">
        <is>
          <t>LUDVIKA</t>
        </is>
      </c>
      <c r="F2904" t="inlineStr">
        <is>
          <t>Bergvik skog väst AB</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53919-2020</t>
        </is>
      </c>
      <c r="B2905" s="1" t="n">
        <v>44125</v>
      </c>
      <c r="C2905" s="1" t="n">
        <v>45210</v>
      </c>
      <c r="D2905" t="inlineStr">
        <is>
          <t>DALARNAS LÄN</t>
        </is>
      </c>
      <c r="E2905" t="inlineStr">
        <is>
          <t>SMEDJEBACKEN</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54062-2020</t>
        </is>
      </c>
      <c r="B2906" s="1" t="n">
        <v>44125</v>
      </c>
      <c r="C2906" s="1" t="n">
        <v>45210</v>
      </c>
      <c r="D2906" t="inlineStr">
        <is>
          <t>DALARNAS LÄN</t>
        </is>
      </c>
      <c r="E2906" t="inlineStr">
        <is>
          <t>FALUN</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53889-2020</t>
        </is>
      </c>
      <c r="B2907" s="1" t="n">
        <v>44125</v>
      </c>
      <c r="C2907" s="1" t="n">
        <v>45210</v>
      </c>
      <c r="D2907" t="inlineStr">
        <is>
          <t>DALARNAS LÄN</t>
        </is>
      </c>
      <c r="E2907" t="inlineStr">
        <is>
          <t>VANSBRO</t>
        </is>
      </c>
      <c r="F2907" t="inlineStr">
        <is>
          <t>Bergvik skog väst AB</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54138-2020</t>
        </is>
      </c>
      <c r="B2908" s="1" t="n">
        <v>44125</v>
      </c>
      <c r="C2908" s="1" t="n">
        <v>45210</v>
      </c>
      <c r="D2908" t="inlineStr">
        <is>
          <t>DALARNAS LÄN</t>
        </is>
      </c>
      <c r="E2908" t="inlineStr">
        <is>
          <t>ÄLVDALEN</t>
        </is>
      </c>
      <c r="F2908" t="inlineStr">
        <is>
          <t>Bergvik skog öst AB</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54396-2020</t>
        </is>
      </c>
      <c r="B2909" s="1" t="n">
        <v>44126</v>
      </c>
      <c r="C2909" s="1" t="n">
        <v>45210</v>
      </c>
      <c r="D2909" t="inlineStr">
        <is>
          <t>DALARNAS LÄN</t>
        </is>
      </c>
      <c r="E2909" t="inlineStr">
        <is>
          <t>RÄTTVIK</t>
        </is>
      </c>
      <c r="F2909" t="inlineStr">
        <is>
          <t>Sveaskog</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54889-2020</t>
        </is>
      </c>
      <c r="B2910" s="1" t="n">
        <v>44126</v>
      </c>
      <c r="C2910" s="1" t="n">
        <v>45210</v>
      </c>
      <c r="D2910" t="inlineStr">
        <is>
          <t>DALARNAS LÄN</t>
        </is>
      </c>
      <c r="E2910" t="inlineStr">
        <is>
          <t>SMEDJEBACKEN</t>
        </is>
      </c>
      <c r="F2910" t="inlineStr">
        <is>
          <t>Bergvik skog väst AB</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54398-2020</t>
        </is>
      </c>
      <c r="B2911" s="1" t="n">
        <v>44126</v>
      </c>
      <c r="C2911" s="1" t="n">
        <v>45210</v>
      </c>
      <c r="D2911" t="inlineStr">
        <is>
          <t>DALARNAS LÄN</t>
        </is>
      </c>
      <c r="E2911" t="inlineStr">
        <is>
          <t>RÄTTVIK</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54894-2020</t>
        </is>
      </c>
      <c r="B2912" s="1" t="n">
        <v>44126</v>
      </c>
      <c r="C2912" s="1" t="n">
        <v>45210</v>
      </c>
      <c r="D2912" t="inlineStr">
        <is>
          <t>DALARNAS LÄN</t>
        </is>
      </c>
      <c r="E2912" t="inlineStr">
        <is>
          <t>SMEDJEBACKEN</t>
        </is>
      </c>
      <c r="F2912" t="inlineStr">
        <is>
          <t>Bergvik skog väst AB</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54391-2020</t>
        </is>
      </c>
      <c r="B2913" s="1" t="n">
        <v>44126</v>
      </c>
      <c r="C2913" s="1" t="n">
        <v>45210</v>
      </c>
      <c r="D2913" t="inlineStr">
        <is>
          <t>DALARNAS LÄN</t>
        </is>
      </c>
      <c r="E2913" t="inlineStr">
        <is>
          <t>RÄTTVIK</t>
        </is>
      </c>
      <c r="F2913" t="inlineStr">
        <is>
          <t>Sveaskog</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54413-2020</t>
        </is>
      </c>
      <c r="B2914" s="1" t="n">
        <v>44126</v>
      </c>
      <c r="C2914" s="1" t="n">
        <v>45210</v>
      </c>
      <c r="D2914" t="inlineStr">
        <is>
          <t>DALARNAS LÄN</t>
        </is>
      </c>
      <c r="E2914" t="inlineStr">
        <is>
          <t>FALUN</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54446-2020</t>
        </is>
      </c>
      <c r="B2915" s="1" t="n">
        <v>44126</v>
      </c>
      <c r="C2915" s="1" t="n">
        <v>45210</v>
      </c>
      <c r="D2915" t="inlineStr">
        <is>
          <t>DALARNAS LÄN</t>
        </is>
      </c>
      <c r="E2915" t="inlineStr">
        <is>
          <t>RÄTTVIK</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54868-2020</t>
        </is>
      </c>
      <c r="B2916" s="1" t="n">
        <v>44126</v>
      </c>
      <c r="C2916" s="1" t="n">
        <v>45210</v>
      </c>
      <c r="D2916" t="inlineStr">
        <is>
          <t>DALARNAS LÄN</t>
        </is>
      </c>
      <c r="E2916" t="inlineStr">
        <is>
          <t>SMEDJEBACKEN</t>
        </is>
      </c>
      <c r="F2916" t="inlineStr">
        <is>
          <t>Bergvik skog väst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54886-2020</t>
        </is>
      </c>
      <c r="B2917" s="1" t="n">
        <v>44126</v>
      </c>
      <c r="C2917" s="1" t="n">
        <v>45210</v>
      </c>
      <c r="D2917" t="inlineStr">
        <is>
          <t>DALARNAS LÄN</t>
        </is>
      </c>
      <c r="E2917" t="inlineStr">
        <is>
          <t>SMEDJEBACKEN</t>
        </is>
      </c>
      <c r="F2917" t="inlineStr">
        <is>
          <t>Bergvik skog väst AB</t>
        </is>
      </c>
      <c r="G2917" t="n">
        <v>8</v>
      </c>
      <c r="H2917" t="n">
        <v>0</v>
      </c>
      <c r="I2917" t="n">
        <v>0</v>
      </c>
      <c r="J2917" t="n">
        <v>0</v>
      </c>
      <c r="K2917" t="n">
        <v>0</v>
      </c>
      <c r="L2917" t="n">
        <v>0</v>
      </c>
      <c r="M2917" t="n">
        <v>0</v>
      </c>
      <c r="N2917" t="n">
        <v>0</v>
      </c>
      <c r="O2917" t="n">
        <v>0</v>
      </c>
      <c r="P2917" t="n">
        <v>0</v>
      </c>
      <c r="Q2917" t="n">
        <v>0</v>
      </c>
      <c r="R2917" s="2" t="inlineStr"/>
    </row>
    <row r="2918" ht="15" customHeight="1">
      <c r="A2918" t="inlineStr">
        <is>
          <t>A 54317-2020</t>
        </is>
      </c>
      <c r="B2918" s="1" t="n">
        <v>44126</v>
      </c>
      <c r="C2918" s="1" t="n">
        <v>45210</v>
      </c>
      <c r="D2918" t="inlineStr">
        <is>
          <t>DALARNAS LÄN</t>
        </is>
      </c>
      <c r="E2918" t="inlineStr">
        <is>
          <t>SÄTER</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54338-2020</t>
        </is>
      </c>
      <c r="B2919" s="1" t="n">
        <v>44126</v>
      </c>
      <c r="C2919" s="1" t="n">
        <v>45210</v>
      </c>
      <c r="D2919" t="inlineStr">
        <is>
          <t>DALARNAS LÄN</t>
        </is>
      </c>
      <c r="E2919" t="inlineStr">
        <is>
          <t>ÄLVDALEN</t>
        </is>
      </c>
      <c r="G2919" t="n">
        <v>3.4</v>
      </c>
      <c r="H2919" t="n">
        <v>0</v>
      </c>
      <c r="I2919" t="n">
        <v>0</v>
      </c>
      <c r="J2919" t="n">
        <v>0</v>
      </c>
      <c r="K2919" t="n">
        <v>0</v>
      </c>
      <c r="L2919" t="n">
        <v>0</v>
      </c>
      <c r="M2919" t="n">
        <v>0</v>
      </c>
      <c r="N2919" t="n">
        <v>0</v>
      </c>
      <c r="O2919" t="n">
        <v>0</v>
      </c>
      <c r="P2919" t="n">
        <v>0</v>
      </c>
      <c r="Q2919" t="n">
        <v>0</v>
      </c>
      <c r="R2919" s="2" t="inlineStr"/>
    </row>
    <row r="2920" ht="15" customHeight="1">
      <c r="A2920" t="inlineStr">
        <is>
          <t>A 54347-2020</t>
        </is>
      </c>
      <c r="B2920" s="1" t="n">
        <v>44126</v>
      </c>
      <c r="C2920" s="1" t="n">
        <v>45210</v>
      </c>
      <c r="D2920" t="inlineStr">
        <is>
          <t>DALARNAS LÄN</t>
        </is>
      </c>
      <c r="E2920" t="inlineStr">
        <is>
          <t>HEDEMORA</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54444-2020</t>
        </is>
      </c>
      <c r="B2921" s="1" t="n">
        <v>44126</v>
      </c>
      <c r="C2921" s="1" t="n">
        <v>45210</v>
      </c>
      <c r="D2921" t="inlineStr">
        <is>
          <t>DALARNAS LÄN</t>
        </is>
      </c>
      <c r="E2921" t="inlineStr">
        <is>
          <t>RÄTTVIK</t>
        </is>
      </c>
      <c r="F2921" t="inlineStr">
        <is>
          <t>Sveaskog</t>
        </is>
      </c>
      <c r="G2921" t="n">
        <v>5.1</v>
      </c>
      <c r="H2921" t="n">
        <v>0</v>
      </c>
      <c r="I2921" t="n">
        <v>0</v>
      </c>
      <c r="J2921" t="n">
        <v>0</v>
      </c>
      <c r="K2921" t="n">
        <v>0</v>
      </c>
      <c r="L2921" t="n">
        <v>0</v>
      </c>
      <c r="M2921" t="n">
        <v>0</v>
      </c>
      <c r="N2921" t="n">
        <v>0</v>
      </c>
      <c r="O2921" t="n">
        <v>0</v>
      </c>
      <c r="P2921" t="n">
        <v>0</v>
      </c>
      <c r="Q2921" t="n">
        <v>0</v>
      </c>
      <c r="R2921" s="2" t="inlineStr"/>
    </row>
    <row r="2922" ht="15" customHeight="1">
      <c r="A2922" t="inlineStr">
        <is>
          <t>A 54867-2020</t>
        </is>
      </c>
      <c r="B2922" s="1" t="n">
        <v>44126</v>
      </c>
      <c r="C2922" s="1" t="n">
        <v>45210</v>
      </c>
      <c r="D2922" t="inlineStr">
        <is>
          <t>DALARNAS LÄN</t>
        </is>
      </c>
      <c r="E2922" t="inlineStr">
        <is>
          <t>SMEDJEBACKEN</t>
        </is>
      </c>
      <c r="F2922" t="inlineStr">
        <is>
          <t>Bergvik skog väst AB</t>
        </is>
      </c>
      <c r="G2922" t="n">
        <v>3.6</v>
      </c>
      <c r="H2922" t="n">
        <v>0</v>
      </c>
      <c r="I2922" t="n">
        <v>0</v>
      </c>
      <c r="J2922" t="n">
        <v>0</v>
      </c>
      <c r="K2922" t="n">
        <v>0</v>
      </c>
      <c r="L2922" t="n">
        <v>0</v>
      </c>
      <c r="M2922" t="n">
        <v>0</v>
      </c>
      <c r="N2922" t="n">
        <v>0</v>
      </c>
      <c r="O2922" t="n">
        <v>0</v>
      </c>
      <c r="P2922" t="n">
        <v>0</v>
      </c>
      <c r="Q2922" t="n">
        <v>0</v>
      </c>
      <c r="R2922" s="2" t="inlineStr"/>
    </row>
    <row r="2923" ht="15" customHeight="1">
      <c r="A2923" t="inlineStr">
        <is>
          <t>A 54641-2020</t>
        </is>
      </c>
      <c r="B2923" s="1" t="n">
        <v>44127</v>
      </c>
      <c r="C2923" s="1" t="n">
        <v>45210</v>
      </c>
      <c r="D2923" t="inlineStr">
        <is>
          <t>DALARNAS LÄN</t>
        </is>
      </c>
      <c r="E2923" t="inlineStr">
        <is>
          <t>LUDVIKA</t>
        </is>
      </c>
      <c r="F2923" t="inlineStr">
        <is>
          <t>Övriga Aktiebolag</t>
        </is>
      </c>
      <c r="G2923" t="n">
        <v>38.7</v>
      </c>
      <c r="H2923" t="n">
        <v>0</v>
      </c>
      <c r="I2923" t="n">
        <v>0</v>
      </c>
      <c r="J2923" t="n">
        <v>0</v>
      </c>
      <c r="K2923" t="n">
        <v>0</v>
      </c>
      <c r="L2923" t="n">
        <v>0</v>
      </c>
      <c r="M2923" t="n">
        <v>0</v>
      </c>
      <c r="N2923" t="n">
        <v>0</v>
      </c>
      <c r="O2923" t="n">
        <v>0</v>
      </c>
      <c r="P2923" t="n">
        <v>0</v>
      </c>
      <c r="Q2923" t="n">
        <v>0</v>
      </c>
      <c r="R2923" s="2" t="inlineStr"/>
    </row>
    <row r="2924" ht="15" customHeight="1">
      <c r="A2924" t="inlineStr">
        <is>
          <t>A 54639-2020</t>
        </is>
      </c>
      <c r="B2924" s="1" t="n">
        <v>44127</v>
      </c>
      <c r="C2924" s="1" t="n">
        <v>45210</v>
      </c>
      <c r="D2924" t="inlineStr">
        <is>
          <t>DALARNAS LÄN</t>
        </is>
      </c>
      <c r="E2924" t="inlineStr">
        <is>
          <t>LUDVIKA</t>
        </is>
      </c>
      <c r="F2924" t="inlineStr">
        <is>
          <t>Övriga Aktiebolag</t>
        </is>
      </c>
      <c r="G2924" t="n">
        <v>25.9</v>
      </c>
      <c r="H2924" t="n">
        <v>0</v>
      </c>
      <c r="I2924" t="n">
        <v>0</v>
      </c>
      <c r="J2924" t="n">
        <v>0</v>
      </c>
      <c r="K2924" t="n">
        <v>0</v>
      </c>
      <c r="L2924" t="n">
        <v>0</v>
      </c>
      <c r="M2924" t="n">
        <v>0</v>
      </c>
      <c r="N2924" t="n">
        <v>0</v>
      </c>
      <c r="O2924" t="n">
        <v>0</v>
      </c>
      <c r="P2924" t="n">
        <v>0</v>
      </c>
      <c r="Q2924" t="n">
        <v>0</v>
      </c>
      <c r="R2924" s="2" t="inlineStr"/>
    </row>
    <row r="2925" ht="15" customHeight="1">
      <c r="A2925" t="inlineStr">
        <is>
          <t>A 55203-2020</t>
        </is>
      </c>
      <c r="B2925" s="1" t="n">
        <v>44130</v>
      </c>
      <c r="C2925" s="1" t="n">
        <v>45210</v>
      </c>
      <c r="D2925" t="inlineStr">
        <is>
          <t>DALARNAS LÄN</t>
        </is>
      </c>
      <c r="E2925" t="inlineStr">
        <is>
          <t>RÄTTVIK</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55249-2020</t>
        </is>
      </c>
      <c r="B2926" s="1" t="n">
        <v>44130</v>
      </c>
      <c r="C2926" s="1" t="n">
        <v>45210</v>
      </c>
      <c r="D2926" t="inlineStr">
        <is>
          <t>DALARNAS LÄN</t>
        </is>
      </c>
      <c r="E2926" t="inlineStr">
        <is>
          <t>MORA</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55506-2020</t>
        </is>
      </c>
      <c r="B2927" s="1" t="n">
        <v>44130</v>
      </c>
      <c r="C2927" s="1" t="n">
        <v>45210</v>
      </c>
      <c r="D2927" t="inlineStr">
        <is>
          <t>DALARNAS LÄN</t>
        </is>
      </c>
      <c r="E2927" t="inlineStr">
        <is>
          <t>RÄTTVIK</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55150-2020</t>
        </is>
      </c>
      <c r="B2928" s="1" t="n">
        <v>44130</v>
      </c>
      <c r="C2928" s="1" t="n">
        <v>45210</v>
      </c>
      <c r="D2928" t="inlineStr">
        <is>
          <t>DALARNAS LÄN</t>
        </is>
      </c>
      <c r="E2928" t="inlineStr">
        <is>
          <t>RÄTTVIK</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55271-2020</t>
        </is>
      </c>
      <c r="B2929" s="1" t="n">
        <v>44130</v>
      </c>
      <c r="C2929" s="1" t="n">
        <v>45210</v>
      </c>
      <c r="D2929" t="inlineStr">
        <is>
          <t>DALARNAS LÄN</t>
        </is>
      </c>
      <c r="E2929" t="inlineStr">
        <is>
          <t>VANSBRO</t>
        </is>
      </c>
      <c r="F2929" t="inlineStr">
        <is>
          <t>Bergvik skog väst AB</t>
        </is>
      </c>
      <c r="G2929" t="n">
        <v>3.9</v>
      </c>
      <c r="H2929" t="n">
        <v>0</v>
      </c>
      <c r="I2929" t="n">
        <v>0</v>
      </c>
      <c r="J2929" t="n">
        <v>0</v>
      </c>
      <c r="K2929" t="n">
        <v>0</v>
      </c>
      <c r="L2929" t="n">
        <v>0</v>
      </c>
      <c r="M2929" t="n">
        <v>0</v>
      </c>
      <c r="N2929" t="n">
        <v>0</v>
      </c>
      <c r="O2929" t="n">
        <v>0</v>
      </c>
      <c r="P2929" t="n">
        <v>0</v>
      </c>
      <c r="Q2929" t="n">
        <v>0</v>
      </c>
      <c r="R2929" s="2" t="inlineStr"/>
    </row>
    <row r="2930" ht="15" customHeight="1">
      <c r="A2930" t="inlineStr">
        <is>
          <t>A 55488-2020</t>
        </is>
      </c>
      <c r="B2930" s="1" t="n">
        <v>44131</v>
      </c>
      <c r="C2930" s="1" t="n">
        <v>45210</v>
      </c>
      <c r="D2930" t="inlineStr">
        <is>
          <t>DALARNAS LÄN</t>
        </is>
      </c>
      <c r="E2930" t="inlineStr">
        <is>
          <t>MALUNG-SÄLEN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55449-2020</t>
        </is>
      </c>
      <c r="B2931" s="1" t="n">
        <v>44131</v>
      </c>
      <c r="C2931" s="1" t="n">
        <v>45210</v>
      </c>
      <c r="D2931" t="inlineStr">
        <is>
          <t>DALARNAS LÄN</t>
        </is>
      </c>
      <c r="E2931" t="inlineStr">
        <is>
          <t>RÄTTVIK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55502-2020</t>
        </is>
      </c>
      <c r="B2932" s="1" t="n">
        <v>44131</v>
      </c>
      <c r="C2932" s="1" t="n">
        <v>45210</v>
      </c>
      <c r="D2932" t="inlineStr">
        <is>
          <t>DALARNAS LÄN</t>
        </is>
      </c>
      <c r="E2932" t="inlineStr">
        <is>
          <t>GAGNEF</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55365-2020</t>
        </is>
      </c>
      <c r="B2933" s="1" t="n">
        <v>44131</v>
      </c>
      <c r="C2933" s="1" t="n">
        <v>45210</v>
      </c>
      <c r="D2933" t="inlineStr">
        <is>
          <t>DALARNAS LÄN</t>
        </is>
      </c>
      <c r="E2933" t="inlineStr">
        <is>
          <t>FALUN</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55535-2020</t>
        </is>
      </c>
      <c r="B2934" s="1" t="n">
        <v>44131</v>
      </c>
      <c r="C2934" s="1" t="n">
        <v>45210</v>
      </c>
      <c r="D2934" t="inlineStr">
        <is>
          <t>DALARNAS LÄN</t>
        </is>
      </c>
      <c r="E2934" t="inlineStr">
        <is>
          <t>MALUNG-SÄLEN</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55646-2020</t>
        </is>
      </c>
      <c r="B2935" s="1" t="n">
        <v>44131</v>
      </c>
      <c r="C2935" s="1" t="n">
        <v>45210</v>
      </c>
      <c r="D2935" t="inlineStr">
        <is>
          <t>DALARNAS LÄN</t>
        </is>
      </c>
      <c r="E2935" t="inlineStr">
        <is>
          <t>LUDVIKA</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55730-2020</t>
        </is>
      </c>
      <c r="B2936" s="1" t="n">
        <v>44132</v>
      </c>
      <c r="C2936" s="1" t="n">
        <v>45210</v>
      </c>
      <c r="D2936" t="inlineStr">
        <is>
          <t>DALARNAS LÄN</t>
        </is>
      </c>
      <c r="E2936" t="inlineStr">
        <is>
          <t>BORLÄNGE</t>
        </is>
      </c>
      <c r="G2936" t="n">
        <v>4.1</v>
      </c>
      <c r="H2936" t="n">
        <v>0</v>
      </c>
      <c r="I2936" t="n">
        <v>0</v>
      </c>
      <c r="J2936" t="n">
        <v>0</v>
      </c>
      <c r="K2936" t="n">
        <v>0</v>
      </c>
      <c r="L2936" t="n">
        <v>0</v>
      </c>
      <c r="M2936" t="n">
        <v>0</v>
      </c>
      <c r="N2936" t="n">
        <v>0</v>
      </c>
      <c r="O2936" t="n">
        <v>0</v>
      </c>
      <c r="P2936" t="n">
        <v>0</v>
      </c>
      <c r="Q2936" t="n">
        <v>0</v>
      </c>
      <c r="R2936" s="2" t="inlineStr"/>
    </row>
    <row r="2937" ht="15" customHeight="1">
      <c r="A2937" t="inlineStr">
        <is>
          <t>A 56071-2020</t>
        </is>
      </c>
      <c r="B2937" s="1" t="n">
        <v>44133</v>
      </c>
      <c r="C2937" s="1" t="n">
        <v>45210</v>
      </c>
      <c r="D2937" t="inlineStr">
        <is>
          <t>DALARNAS LÄN</t>
        </is>
      </c>
      <c r="E2937" t="inlineStr">
        <is>
          <t>MORA</t>
        </is>
      </c>
      <c r="G2937" t="n">
        <v>6.6</v>
      </c>
      <c r="H2937" t="n">
        <v>0</v>
      </c>
      <c r="I2937" t="n">
        <v>0</v>
      </c>
      <c r="J2937" t="n">
        <v>0</v>
      </c>
      <c r="K2937" t="n">
        <v>0</v>
      </c>
      <c r="L2937" t="n">
        <v>0</v>
      </c>
      <c r="M2937" t="n">
        <v>0</v>
      </c>
      <c r="N2937" t="n">
        <v>0</v>
      </c>
      <c r="O2937" t="n">
        <v>0</v>
      </c>
      <c r="P2937" t="n">
        <v>0</v>
      </c>
      <c r="Q2937" t="n">
        <v>0</v>
      </c>
      <c r="R2937" s="2" t="inlineStr"/>
    </row>
    <row r="2938" ht="15" customHeight="1">
      <c r="A2938" t="inlineStr">
        <is>
          <t>A 56147-2020</t>
        </is>
      </c>
      <c r="B2938" s="1" t="n">
        <v>44133</v>
      </c>
      <c r="C2938" s="1" t="n">
        <v>45210</v>
      </c>
      <c r="D2938" t="inlineStr">
        <is>
          <t>DALARNAS LÄN</t>
        </is>
      </c>
      <c r="E2938" t="inlineStr">
        <is>
          <t>RÄTTVIK</t>
        </is>
      </c>
      <c r="F2938" t="inlineStr">
        <is>
          <t>Bergvik skog väst AB</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56332-2020</t>
        </is>
      </c>
      <c r="B2939" s="1" t="n">
        <v>44134</v>
      </c>
      <c r="C2939" s="1" t="n">
        <v>45210</v>
      </c>
      <c r="D2939" t="inlineStr">
        <is>
          <t>DALARNAS LÄN</t>
        </is>
      </c>
      <c r="E2939" t="inlineStr">
        <is>
          <t>MALUNG-SÄLEN</t>
        </is>
      </c>
      <c r="F2939" t="inlineStr">
        <is>
          <t>Bergvik skog öst AB</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56817-2020</t>
        </is>
      </c>
      <c r="B2940" s="1" t="n">
        <v>44134</v>
      </c>
      <c r="C2940" s="1" t="n">
        <v>45210</v>
      </c>
      <c r="D2940" t="inlineStr">
        <is>
          <t>DALARNAS LÄN</t>
        </is>
      </c>
      <c r="E2940" t="inlineStr">
        <is>
          <t>VANSBRO</t>
        </is>
      </c>
      <c r="F2940" t="inlineStr">
        <is>
          <t>Kyrkan</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56379-2020</t>
        </is>
      </c>
      <c r="B2941" s="1" t="n">
        <v>44136</v>
      </c>
      <c r="C2941" s="1" t="n">
        <v>45210</v>
      </c>
      <c r="D2941" t="inlineStr">
        <is>
          <t>DALARNAS LÄN</t>
        </is>
      </c>
      <c r="E2941" t="inlineStr">
        <is>
          <t>SÄTER</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56372-2020</t>
        </is>
      </c>
      <c r="B2942" s="1" t="n">
        <v>44136</v>
      </c>
      <c r="C2942" s="1" t="n">
        <v>45210</v>
      </c>
      <c r="D2942" t="inlineStr">
        <is>
          <t>DALARNAS LÄN</t>
        </is>
      </c>
      <c r="E2942" t="inlineStr">
        <is>
          <t>SMEDJEBACKEN</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56590-2020</t>
        </is>
      </c>
      <c r="B2943" s="1" t="n">
        <v>44137</v>
      </c>
      <c r="C2943" s="1" t="n">
        <v>45210</v>
      </c>
      <c r="D2943" t="inlineStr">
        <is>
          <t>DALARNAS LÄN</t>
        </is>
      </c>
      <c r="E2943" t="inlineStr">
        <is>
          <t>MALUNG-SÄLEN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56561-2020</t>
        </is>
      </c>
      <c r="B2944" s="1" t="n">
        <v>44137</v>
      </c>
      <c r="C2944" s="1" t="n">
        <v>45210</v>
      </c>
      <c r="D2944" t="inlineStr">
        <is>
          <t>DALARNAS LÄN</t>
        </is>
      </c>
      <c r="E2944" t="inlineStr">
        <is>
          <t>MALUNG-SÄLEN</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56584-2020</t>
        </is>
      </c>
      <c r="B2945" s="1" t="n">
        <v>44137</v>
      </c>
      <c r="C2945" s="1" t="n">
        <v>45210</v>
      </c>
      <c r="D2945" t="inlineStr">
        <is>
          <t>DALARNAS LÄN</t>
        </is>
      </c>
      <c r="E2945" t="inlineStr">
        <is>
          <t>MALUNG-SÄLEN</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56585-2020</t>
        </is>
      </c>
      <c r="B2946" s="1" t="n">
        <v>44137</v>
      </c>
      <c r="C2946" s="1" t="n">
        <v>45210</v>
      </c>
      <c r="D2946" t="inlineStr">
        <is>
          <t>DALARNAS LÄN</t>
        </is>
      </c>
      <c r="E2946" t="inlineStr">
        <is>
          <t>RÄTTVIK</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57071-2020</t>
        </is>
      </c>
      <c r="B2947" s="1" t="n">
        <v>44138</v>
      </c>
      <c r="C2947" s="1" t="n">
        <v>45210</v>
      </c>
      <c r="D2947" t="inlineStr">
        <is>
          <t>DALARNAS LÄN</t>
        </is>
      </c>
      <c r="E2947" t="inlineStr">
        <is>
          <t>HEDEMORA</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56974-2020</t>
        </is>
      </c>
      <c r="B2948" s="1" t="n">
        <v>44138</v>
      </c>
      <c r="C2948" s="1" t="n">
        <v>45210</v>
      </c>
      <c r="D2948" t="inlineStr">
        <is>
          <t>DALARNAS LÄN</t>
        </is>
      </c>
      <c r="E2948" t="inlineStr">
        <is>
          <t>MORA</t>
        </is>
      </c>
      <c r="F2948" t="inlineStr">
        <is>
          <t>Allmännings- och besparingsskogar</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57261-2020</t>
        </is>
      </c>
      <c r="B2949" s="1" t="n">
        <v>44139</v>
      </c>
      <c r="C2949" s="1" t="n">
        <v>45210</v>
      </c>
      <c r="D2949" t="inlineStr">
        <is>
          <t>DALARNAS LÄN</t>
        </is>
      </c>
      <c r="E2949" t="inlineStr">
        <is>
          <t>RÄTTVIK</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57268-2020</t>
        </is>
      </c>
      <c r="B2950" s="1" t="n">
        <v>44139</v>
      </c>
      <c r="C2950" s="1" t="n">
        <v>45210</v>
      </c>
      <c r="D2950" t="inlineStr">
        <is>
          <t>DALARNAS LÄN</t>
        </is>
      </c>
      <c r="E2950" t="inlineStr">
        <is>
          <t>MORA</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57187-2020</t>
        </is>
      </c>
      <c r="B2951" s="1" t="n">
        <v>44139</v>
      </c>
      <c r="C2951" s="1" t="n">
        <v>45210</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58004-2020</t>
        </is>
      </c>
      <c r="B2952" s="1" t="n">
        <v>44140</v>
      </c>
      <c r="C2952" s="1" t="n">
        <v>45210</v>
      </c>
      <c r="D2952" t="inlineStr">
        <is>
          <t>DALARNAS LÄN</t>
        </is>
      </c>
      <c r="E2952" t="inlineStr">
        <is>
          <t>ÄLVDALEN</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57765-2020</t>
        </is>
      </c>
      <c r="B2953" s="1" t="n">
        <v>44141</v>
      </c>
      <c r="C2953" s="1" t="n">
        <v>45210</v>
      </c>
      <c r="D2953" t="inlineStr">
        <is>
          <t>DALARNAS LÄN</t>
        </is>
      </c>
      <c r="E2953" t="inlineStr">
        <is>
          <t>ORSA</t>
        </is>
      </c>
      <c r="F2953" t="inlineStr">
        <is>
          <t>Bergvik skog öst AB</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57781-2020</t>
        </is>
      </c>
      <c r="B2954" s="1" t="n">
        <v>44141</v>
      </c>
      <c r="C2954" s="1" t="n">
        <v>45210</v>
      </c>
      <c r="D2954" t="inlineStr">
        <is>
          <t>DALARNAS LÄN</t>
        </is>
      </c>
      <c r="E2954" t="inlineStr">
        <is>
          <t>HEDEMORA</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57848-2020</t>
        </is>
      </c>
      <c r="B2955" s="1" t="n">
        <v>44141</v>
      </c>
      <c r="C2955" s="1" t="n">
        <v>45210</v>
      </c>
      <c r="D2955" t="inlineStr">
        <is>
          <t>DALARNAS LÄN</t>
        </is>
      </c>
      <c r="E2955" t="inlineStr">
        <is>
          <t>MORA</t>
        </is>
      </c>
      <c r="F2955" t="inlineStr">
        <is>
          <t>Bergvik skog öst AB</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58522-2020</t>
        </is>
      </c>
      <c r="B2956" s="1" t="n">
        <v>44141</v>
      </c>
      <c r="C2956" s="1" t="n">
        <v>45210</v>
      </c>
      <c r="D2956" t="inlineStr">
        <is>
          <t>DALARNAS LÄN</t>
        </is>
      </c>
      <c r="E2956" t="inlineStr">
        <is>
          <t>RÄTTVIK</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57779-2020</t>
        </is>
      </c>
      <c r="B2957" s="1" t="n">
        <v>44141</v>
      </c>
      <c r="C2957" s="1" t="n">
        <v>45210</v>
      </c>
      <c r="D2957" t="inlineStr">
        <is>
          <t>DALARNAS LÄN</t>
        </is>
      </c>
      <c r="E2957" t="inlineStr">
        <is>
          <t>HEDEMORA</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57904-2020</t>
        </is>
      </c>
      <c r="B2958" s="1" t="n">
        <v>44141</v>
      </c>
      <c r="C2958" s="1" t="n">
        <v>45210</v>
      </c>
      <c r="D2958" t="inlineStr">
        <is>
          <t>DALARNAS LÄN</t>
        </is>
      </c>
      <c r="E2958" t="inlineStr">
        <is>
          <t>SMEDJEBACKEN</t>
        </is>
      </c>
      <c r="F2958" t="inlineStr">
        <is>
          <t>Sveaskog</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57926-2020</t>
        </is>
      </c>
      <c r="B2959" s="1" t="n">
        <v>44141</v>
      </c>
      <c r="C2959" s="1" t="n">
        <v>45210</v>
      </c>
      <c r="D2959" t="inlineStr">
        <is>
          <t>DALARNAS LÄN</t>
        </is>
      </c>
      <c r="E2959" t="inlineStr">
        <is>
          <t>MORA</t>
        </is>
      </c>
      <c r="F2959" t="inlineStr">
        <is>
          <t>Bergvik skog väst AB</t>
        </is>
      </c>
      <c r="G2959" t="n">
        <v>13.1</v>
      </c>
      <c r="H2959" t="n">
        <v>0</v>
      </c>
      <c r="I2959" t="n">
        <v>0</v>
      </c>
      <c r="J2959" t="n">
        <v>0</v>
      </c>
      <c r="K2959" t="n">
        <v>0</v>
      </c>
      <c r="L2959" t="n">
        <v>0</v>
      </c>
      <c r="M2959" t="n">
        <v>0</v>
      </c>
      <c r="N2959" t="n">
        <v>0</v>
      </c>
      <c r="O2959" t="n">
        <v>0</v>
      </c>
      <c r="P2959" t="n">
        <v>0</v>
      </c>
      <c r="Q2959" t="n">
        <v>0</v>
      </c>
      <c r="R2959" s="2" t="inlineStr"/>
    </row>
    <row r="2960" ht="15" customHeight="1">
      <c r="A2960" t="inlineStr">
        <is>
          <t>A 57936-2020</t>
        </is>
      </c>
      <c r="B2960" s="1" t="n">
        <v>44141</v>
      </c>
      <c r="C2960" s="1" t="n">
        <v>45210</v>
      </c>
      <c r="D2960" t="inlineStr">
        <is>
          <t>DALARNAS LÄN</t>
        </is>
      </c>
      <c r="E2960" t="inlineStr">
        <is>
          <t>HEDEMORA</t>
        </is>
      </c>
      <c r="F2960" t="inlineStr">
        <is>
          <t>Sveaskog</t>
        </is>
      </c>
      <c r="G2960" t="n">
        <v>8</v>
      </c>
      <c r="H2960" t="n">
        <v>0</v>
      </c>
      <c r="I2960" t="n">
        <v>0</v>
      </c>
      <c r="J2960" t="n">
        <v>0</v>
      </c>
      <c r="K2960" t="n">
        <v>0</v>
      </c>
      <c r="L2960" t="n">
        <v>0</v>
      </c>
      <c r="M2960" t="n">
        <v>0</v>
      </c>
      <c r="N2960" t="n">
        <v>0</v>
      </c>
      <c r="O2960" t="n">
        <v>0</v>
      </c>
      <c r="P2960" t="n">
        <v>0</v>
      </c>
      <c r="Q2960" t="n">
        <v>0</v>
      </c>
      <c r="R2960" s="2" t="inlineStr"/>
    </row>
    <row r="2961" ht="15" customHeight="1">
      <c r="A2961" t="inlineStr">
        <is>
          <t>A 57871-2020</t>
        </is>
      </c>
      <c r="B2961" s="1" t="n">
        <v>44141</v>
      </c>
      <c r="C2961" s="1" t="n">
        <v>45210</v>
      </c>
      <c r="D2961" t="inlineStr">
        <is>
          <t>DALARNAS LÄN</t>
        </is>
      </c>
      <c r="E2961" t="inlineStr">
        <is>
          <t>FALUN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58309-2020</t>
        </is>
      </c>
      <c r="B2962" s="1" t="n">
        <v>44141</v>
      </c>
      <c r="C2962" s="1" t="n">
        <v>45210</v>
      </c>
      <c r="D2962" t="inlineStr">
        <is>
          <t>DALARNAS LÄN</t>
        </is>
      </c>
      <c r="E2962" t="inlineStr">
        <is>
          <t>SÄTER</t>
        </is>
      </c>
      <c r="F2962" t="inlineStr">
        <is>
          <t>Bergvik skog väst AB</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57963-2020</t>
        </is>
      </c>
      <c r="B2963" s="1" t="n">
        <v>44143</v>
      </c>
      <c r="C2963" s="1" t="n">
        <v>45210</v>
      </c>
      <c r="D2963" t="inlineStr">
        <is>
          <t>DALARNAS LÄN</t>
        </is>
      </c>
      <c r="E2963" t="inlineStr">
        <is>
          <t>FALUN</t>
        </is>
      </c>
      <c r="F2963" t="inlineStr">
        <is>
          <t>Bergvik skog väst AB</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57960-2020</t>
        </is>
      </c>
      <c r="B2964" s="1" t="n">
        <v>44143</v>
      </c>
      <c r="C2964" s="1" t="n">
        <v>45210</v>
      </c>
      <c r="D2964" t="inlineStr">
        <is>
          <t>DALARNAS LÄN</t>
        </is>
      </c>
      <c r="E2964" t="inlineStr">
        <is>
          <t>FALUN</t>
        </is>
      </c>
      <c r="G2964" t="n">
        <v>1.8</v>
      </c>
      <c r="H2964" t="n">
        <v>0</v>
      </c>
      <c r="I2964" t="n">
        <v>0</v>
      </c>
      <c r="J2964" t="n">
        <v>0</v>
      </c>
      <c r="K2964" t="n">
        <v>0</v>
      </c>
      <c r="L2964" t="n">
        <v>0</v>
      </c>
      <c r="M2964" t="n">
        <v>0</v>
      </c>
      <c r="N2964" t="n">
        <v>0</v>
      </c>
      <c r="O2964" t="n">
        <v>0</v>
      </c>
      <c r="P2964" t="n">
        <v>0</v>
      </c>
      <c r="Q2964" t="n">
        <v>0</v>
      </c>
      <c r="R2964" s="2" t="inlineStr"/>
    </row>
    <row r="2965" ht="15" customHeight="1">
      <c r="A2965" t="inlineStr">
        <is>
          <t>A 57966-2020</t>
        </is>
      </c>
      <c r="B2965" s="1" t="n">
        <v>44143</v>
      </c>
      <c r="C2965" s="1" t="n">
        <v>45210</v>
      </c>
      <c r="D2965" t="inlineStr">
        <is>
          <t>DALARNAS LÄN</t>
        </is>
      </c>
      <c r="E2965" t="inlineStr">
        <is>
          <t>FALUN</t>
        </is>
      </c>
      <c r="F2965" t="inlineStr">
        <is>
          <t>Bergvik skog väst AB</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57964-2020</t>
        </is>
      </c>
      <c r="B2966" s="1" t="n">
        <v>44143</v>
      </c>
      <c r="C2966" s="1" t="n">
        <v>45210</v>
      </c>
      <c r="D2966" t="inlineStr">
        <is>
          <t>DALARNAS LÄN</t>
        </is>
      </c>
      <c r="E2966" t="inlineStr">
        <is>
          <t>FALUN</t>
        </is>
      </c>
      <c r="F2966" t="inlineStr">
        <is>
          <t>Bergvik skog väst AB</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58462-2020</t>
        </is>
      </c>
      <c r="B2967" s="1" t="n">
        <v>44144</v>
      </c>
      <c r="C2967" s="1" t="n">
        <v>45210</v>
      </c>
      <c r="D2967" t="inlineStr">
        <is>
          <t>DALARNAS LÄN</t>
        </is>
      </c>
      <c r="E2967" t="inlineStr">
        <is>
          <t>MALUNG-SÄLEN</t>
        </is>
      </c>
      <c r="F2967" t="inlineStr">
        <is>
          <t>Allmännings- och besparingsskogar</t>
        </is>
      </c>
      <c r="G2967" t="n">
        <v>25.2</v>
      </c>
      <c r="H2967" t="n">
        <v>0</v>
      </c>
      <c r="I2967" t="n">
        <v>0</v>
      </c>
      <c r="J2967" t="n">
        <v>0</v>
      </c>
      <c r="K2967" t="n">
        <v>0</v>
      </c>
      <c r="L2967" t="n">
        <v>0</v>
      </c>
      <c r="M2967" t="n">
        <v>0</v>
      </c>
      <c r="N2967" t="n">
        <v>0</v>
      </c>
      <c r="O2967" t="n">
        <v>0</v>
      </c>
      <c r="P2967" t="n">
        <v>0</v>
      </c>
      <c r="Q2967" t="n">
        <v>0</v>
      </c>
      <c r="R2967" s="2" t="inlineStr"/>
    </row>
    <row r="2968" ht="15" customHeight="1">
      <c r="A2968" t="inlineStr">
        <is>
          <t>A 58169-2020</t>
        </is>
      </c>
      <c r="B2968" s="1" t="n">
        <v>44144</v>
      </c>
      <c r="C2968" s="1" t="n">
        <v>45210</v>
      </c>
      <c r="D2968" t="inlineStr">
        <is>
          <t>DALARNAS LÄN</t>
        </is>
      </c>
      <c r="E2968" t="inlineStr">
        <is>
          <t>MALUNG-SÄLEN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58371-2020</t>
        </is>
      </c>
      <c r="B2969" s="1" t="n">
        <v>44144</v>
      </c>
      <c r="C2969" s="1" t="n">
        <v>45210</v>
      </c>
      <c r="D2969" t="inlineStr">
        <is>
          <t>DALARNAS LÄN</t>
        </is>
      </c>
      <c r="E2969" t="inlineStr">
        <is>
          <t>FALUN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58111-2020</t>
        </is>
      </c>
      <c r="B2970" s="1" t="n">
        <v>44144</v>
      </c>
      <c r="C2970" s="1" t="n">
        <v>45210</v>
      </c>
      <c r="D2970" t="inlineStr">
        <is>
          <t>DALARNAS LÄN</t>
        </is>
      </c>
      <c r="E2970" t="inlineStr">
        <is>
          <t>HEDEMORA</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58133-2020</t>
        </is>
      </c>
      <c r="B2971" s="1" t="n">
        <v>44144</v>
      </c>
      <c r="C2971" s="1" t="n">
        <v>45210</v>
      </c>
      <c r="D2971" t="inlineStr">
        <is>
          <t>DALARNAS LÄN</t>
        </is>
      </c>
      <c r="E2971" t="inlineStr">
        <is>
          <t>GAGNEF</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58573-2020</t>
        </is>
      </c>
      <c r="B2972" s="1" t="n">
        <v>44145</v>
      </c>
      <c r="C2972" s="1" t="n">
        <v>45210</v>
      </c>
      <c r="D2972" t="inlineStr">
        <is>
          <t>DALARNAS LÄN</t>
        </is>
      </c>
      <c r="E2972" t="inlineStr">
        <is>
          <t>ÄLVDALEN</t>
        </is>
      </c>
      <c r="F2972" t="inlineStr">
        <is>
          <t>Sveaskog</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58424-2020</t>
        </is>
      </c>
      <c r="B2973" s="1" t="n">
        <v>44145</v>
      </c>
      <c r="C2973" s="1" t="n">
        <v>45210</v>
      </c>
      <c r="D2973" t="inlineStr">
        <is>
          <t>DALARNAS LÄN</t>
        </is>
      </c>
      <c r="E2973" t="inlineStr">
        <is>
          <t>GAGNEF</t>
        </is>
      </c>
      <c r="G2973" t="n">
        <v>19.8</v>
      </c>
      <c r="H2973" t="n">
        <v>0</v>
      </c>
      <c r="I2973" t="n">
        <v>0</v>
      </c>
      <c r="J2973" t="n">
        <v>0</v>
      </c>
      <c r="K2973" t="n">
        <v>0</v>
      </c>
      <c r="L2973" t="n">
        <v>0</v>
      </c>
      <c r="M2973" t="n">
        <v>0</v>
      </c>
      <c r="N2973" t="n">
        <v>0</v>
      </c>
      <c r="O2973" t="n">
        <v>0</v>
      </c>
      <c r="P2973" t="n">
        <v>0</v>
      </c>
      <c r="Q2973" t="n">
        <v>0</v>
      </c>
      <c r="R2973" s="2" t="inlineStr"/>
    </row>
    <row r="2974" ht="15" customHeight="1">
      <c r="A2974" t="inlineStr">
        <is>
          <t>A 58586-2020</t>
        </is>
      </c>
      <c r="B2974" s="1" t="n">
        <v>44145</v>
      </c>
      <c r="C2974" s="1" t="n">
        <v>45210</v>
      </c>
      <c r="D2974" t="inlineStr">
        <is>
          <t>DALARNAS LÄN</t>
        </is>
      </c>
      <c r="E2974" t="inlineStr">
        <is>
          <t>RÄTTVIK</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58625-2020</t>
        </is>
      </c>
      <c r="B2975" s="1" t="n">
        <v>44145</v>
      </c>
      <c r="C2975" s="1" t="n">
        <v>45210</v>
      </c>
      <c r="D2975" t="inlineStr">
        <is>
          <t>DALARNAS LÄN</t>
        </is>
      </c>
      <c r="E2975" t="inlineStr">
        <is>
          <t>BORLÄNGE</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58577-2020</t>
        </is>
      </c>
      <c r="B2976" s="1" t="n">
        <v>44145</v>
      </c>
      <c r="C2976" s="1" t="n">
        <v>45210</v>
      </c>
      <c r="D2976" t="inlineStr">
        <is>
          <t>DALARNAS LÄN</t>
        </is>
      </c>
      <c r="E2976" t="inlineStr">
        <is>
          <t>RÄTTVIK</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58556-2020</t>
        </is>
      </c>
      <c r="B2977" s="1" t="n">
        <v>44145</v>
      </c>
      <c r="C2977" s="1" t="n">
        <v>45210</v>
      </c>
      <c r="D2977" t="inlineStr">
        <is>
          <t>DALARNAS LÄN</t>
        </is>
      </c>
      <c r="E2977" t="inlineStr">
        <is>
          <t>ORSA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58571-2020</t>
        </is>
      </c>
      <c r="B2978" s="1" t="n">
        <v>44145</v>
      </c>
      <c r="C2978" s="1" t="n">
        <v>45210</v>
      </c>
      <c r="D2978" t="inlineStr">
        <is>
          <t>DALARNAS LÄN</t>
        </is>
      </c>
      <c r="E2978" t="inlineStr">
        <is>
          <t>ÄLVDALEN</t>
        </is>
      </c>
      <c r="F2978" t="inlineStr">
        <is>
          <t>Sveaskog</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58719-2020</t>
        </is>
      </c>
      <c r="B2979" s="1" t="n">
        <v>44146</v>
      </c>
      <c r="C2979" s="1" t="n">
        <v>45210</v>
      </c>
      <c r="D2979" t="inlineStr">
        <is>
          <t>DALARNAS LÄN</t>
        </is>
      </c>
      <c r="E2979" t="inlineStr">
        <is>
          <t>ÄLVDALEN</t>
        </is>
      </c>
      <c r="F2979" t="inlineStr">
        <is>
          <t>Sveaskog</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58810-2020</t>
        </is>
      </c>
      <c r="B2980" s="1" t="n">
        <v>44146</v>
      </c>
      <c r="C2980" s="1" t="n">
        <v>45210</v>
      </c>
      <c r="D2980" t="inlineStr">
        <is>
          <t>DALARNAS LÄN</t>
        </is>
      </c>
      <c r="E2980" t="inlineStr">
        <is>
          <t>VANSBRO</t>
        </is>
      </c>
      <c r="F2980" t="inlineStr">
        <is>
          <t>Bergvik skog öst AB</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58718-2020</t>
        </is>
      </c>
      <c r="B2981" s="1" t="n">
        <v>44146</v>
      </c>
      <c r="C2981" s="1" t="n">
        <v>45210</v>
      </c>
      <c r="D2981" t="inlineStr">
        <is>
          <t>DALARNAS LÄN</t>
        </is>
      </c>
      <c r="E2981" t="inlineStr">
        <is>
          <t>ÄLVDALEN</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58821-2020</t>
        </is>
      </c>
      <c r="B2982" s="1" t="n">
        <v>44146</v>
      </c>
      <c r="C2982" s="1" t="n">
        <v>45210</v>
      </c>
      <c r="D2982" t="inlineStr">
        <is>
          <t>DALARNAS LÄN</t>
        </is>
      </c>
      <c r="E2982" t="inlineStr">
        <is>
          <t>MALUNG-SÄLEN</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59067-2020</t>
        </is>
      </c>
      <c r="B2983" s="1" t="n">
        <v>44147</v>
      </c>
      <c r="C2983" s="1" t="n">
        <v>45210</v>
      </c>
      <c r="D2983" t="inlineStr">
        <is>
          <t>DALARNAS LÄN</t>
        </is>
      </c>
      <c r="E2983" t="inlineStr">
        <is>
          <t>FALUN</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59195-2020</t>
        </is>
      </c>
      <c r="B2984" s="1" t="n">
        <v>44147</v>
      </c>
      <c r="C2984" s="1" t="n">
        <v>45210</v>
      </c>
      <c r="D2984" t="inlineStr">
        <is>
          <t>DALARNAS LÄN</t>
        </is>
      </c>
      <c r="E2984" t="inlineStr">
        <is>
          <t>SÄTER</t>
        </is>
      </c>
      <c r="G2984" t="n">
        <v>13.5</v>
      </c>
      <c r="H2984" t="n">
        <v>0</v>
      </c>
      <c r="I2984" t="n">
        <v>0</v>
      </c>
      <c r="J2984" t="n">
        <v>0</v>
      </c>
      <c r="K2984" t="n">
        <v>0</v>
      </c>
      <c r="L2984" t="n">
        <v>0</v>
      </c>
      <c r="M2984" t="n">
        <v>0</v>
      </c>
      <c r="N2984" t="n">
        <v>0</v>
      </c>
      <c r="O2984" t="n">
        <v>0</v>
      </c>
      <c r="P2984" t="n">
        <v>0</v>
      </c>
      <c r="Q2984" t="n">
        <v>0</v>
      </c>
      <c r="R2984" s="2" t="inlineStr"/>
    </row>
    <row r="2985" ht="15" customHeight="1">
      <c r="A2985" t="inlineStr">
        <is>
          <t>A 59228-2020</t>
        </is>
      </c>
      <c r="B2985" s="1" t="n">
        <v>44147</v>
      </c>
      <c r="C2985" s="1" t="n">
        <v>45210</v>
      </c>
      <c r="D2985" t="inlineStr">
        <is>
          <t>DALARNAS LÄN</t>
        </is>
      </c>
      <c r="E2985" t="inlineStr">
        <is>
          <t>BORLÄNGE</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59324-2020</t>
        </is>
      </c>
      <c r="B2986" s="1" t="n">
        <v>44147</v>
      </c>
      <c r="C2986" s="1" t="n">
        <v>45210</v>
      </c>
      <c r="D2986" t="inlineStr">
        <is>
          <t>DALARNAS LÄN</t>
        </is>
      </c>
      <c r="E2986" t="inlineStr">
        <is>
          <t>SMEDJEBACKEN</t>
        </is>
      </c>
      <c r="F2986" t="inlineStr">
        <is>
          <t>Sveaskog</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59381-2020</t>
        </is>
      </c>
      <c r="B2987" s="1" t="n">
        <v>44148</v>
      </c>
      <c r="C2987" s="1" t="n">
        <v>45210</v>
      </c>
      <c r="D2987" t="inlineStr">
        <is>
          <t>DALARNAS LÄN</t>
        </is>
      </c>
      <c r="E2987" t="inlineStr">
        <is>
          <t>SMEDJEBACKEN</t>
        </is>
      </c>
      <c r="F2987" t="inlineStr">
        <is>
          <t>Sveaskog</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59536-2020</t>
        </is>
      </c>
      <c r="B2988" s="1" t="n">
        <v>44148</v>
      </c>
      <c r="C2988" s="1" t="n">
        <v>45210</v>
      </c>
      <c r="D2988" t="inlineStr">
        <is>
          <t>DALARNAS LÄN</t>
        </is>
      </c>
      <c r="E2988" t="inlineStr">
        <is>
          <t>SMEDJEBACKEN</t>
        </is>
      </c>
      <c r="F2988" t="inlineStr">
        <is>
          <t>Bergvik skog väst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59345-2020</t>
        </is>
      </c>
      <c r="B2989" s="1" t="n">
        <v>44148</v>
      </c>
      <c r="C2989" s="1" t="n">
        <v>45210</v>
      </c>
      <c r="D2989" t="inlineStr">
        <is>
          <t>DALARNAS LÄN</t>
        </is>
      </c>
      <c r="E2989" t="inlineStr">
        <is>
          <t>MALUNG-SÄLEN</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59471-2020</t>
        </is>
      </c>
      <c r="B2990" s="1" t="n">
        <v>44148</v>
      </c>
      <c r="C2990" s="1" t="n">
        <v>45210</v>
      </c>
      <c r="D2990" t="inlineStr">
        <is>
          <t>DALARNAS LÄN</t>
        </is>
      </c>
      <c r="E2990" t="inlineStr">
        <is>
          <t>HEDEMORA</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59398-2020</t>
        </is>
      </c>
      <c r="B2991" s="1" t="n">
        <v>44148</v>
      </c>
      <c r="C2991" s="1" t="n">
        <v>45210</v>
      </c>
      <c r="D2991" t="inlineStr">
        <is>
          <t>DALARNAS LÄN</t>
        </is>
      </c>
      <c r="E2991" t="inlineStr">
        <is>
          <t>FALUN</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59612-2020</t>
        </is>
      </c>
      <c r="B2992" s="1" t="n">
        <v>44149</v>
      </c>
      <c r="C2992" s="1" t="n">
        <v>45210</v>
      </c>
      <c r="D2992" t="inlineStr">
        <is>
          <t>DALARNAS LÄN</t>
        </is>
      </c>
      <c r="E2992" t="inlineStr">
        <is>
          <t>MALUNG-SÄLEN</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59925-2020</t>
        </is>
      </c>
      <c r="B2993" s="1" t="n">
        <v>44151</v>
      </c>
      <c r="C2993" s="1" t="n">
        <v>45210</v>
      </c>
      <c r="D2993" t="inlineStr">
        <is>
          <t>DALARNAS LÄN</t>
        </is>
      </c>
      <c r="E2993" t="inlineStr">
        <is>
          <t>RÄTTVIK</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60864-2020</t>
        </is>
      </c>
      <c r="B2994" s="1" t="n">
        <v>44151</v>
      </c>
      <c r="C2994" s="1" t="n">
        <v>45210</v>
      </c>
      <c r="D2994" t="inlineStr">
        <is>
          <t>DALARNAS LÄN</t>
        </is>
      </c>
      <c r="E2994" t="inlineStr">
        <is>
          <t>RÄTTVIK</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60250-2020</t>
        </is>
      </c>
      <c r="B2995" s="1" t="n">
        <v>44152</v>
      </c>
      <c r="C2995" s="1" t="n">
        <v>45210</v>
      </c>
      <c r="D2995" t="inlineStr">
        <is>
          <t>DALARNAS LÄN</t>
        </is>
      </c>
      <c r="E2995" t="inlineStr">
        <is>
          <t>MORA</t>
        </is>
      </c>
      <c r="F2995" t="inlineStr">
        <is>
          <t>Bergvik skog öst AB</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60628-2020</t>
        </is>
      </c>
      <c r="B2996" s="1" t="n">
        <v>44153</v>
      </c>
      <c r="C2996" s="1" t="n">
        <v>45210</v>
      </c>
      <c r="D2996" t="inlineStr">
        <is>
          <t>DALARNAS LÄN</t>
        </is>
      </c>
      <c r="E2996" t="inlineStr">
        <is>
          <t>SÄTER</t>
        </is>
      </c>
      <c r="G2996" t="n">
        <v>7.6</v>
      </c>
      <c r="H2996" t="n">
        <v>0</v>
      </c>
      <c r="I2996" t="n">
        <v>0</v>
      </c>
      <c r="J2996" t="n">
        <v>0</v>
      </c>
      <c r="K2996" t="n">
        <v>0</v>
      </c>
      <c r="L2996" t="n">
        <v>0</v>
      </c>
      <c r="M2996" t="n">
        <v>0</v>
      </c>
      <c r="N2996" t="n">
        <v>0</v>
      </c>
      <c r="O2996" t="n">
        <v>0</v>
      </c>
      <c r="P2996" t="n">
        <v>0</v>
      </c>
      <c r="Q2996" t="n">
        <v>0</v>
      </c>
      <c r="R2996" s="2" t="inlineStr"/>
    </row>
    <row r="2997" ht="15" customHeight="1">
      <c r="A2997" t="inlineStr">
        <is>
          <t>A 60920-2020</t>
        </is>
      </c>
      <c r="B2997" s="1" t="n">
        <v>44153</v>
      </c>
      <c r="C2997" s="1" t="n">
        <v>45210</v>
      </c>
      <c r="D2997" t="inlineStr">
        <is>
          <t>DALARNAS LÄN</t>
        </is>
      </c>
      <c r="E2997" t="inlineStr">
        <is>
          <t>LEKSAND</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61160-2020</t>
        </is>
      </c>
      <c r="B2998" s="1" t="n">
        <v>44153</v>
      </c>
      <c r="C2998" s="1" t="n">
        <v>45210</v>
      </c>
      <c r="D2998" t="inlineStr">
        <is>
          <t>DALARNAS LÄN</t>
        </is>
      </c>
      <c r="E2998" t="inlineStr">
        <is>
          <t>ÄLVDALEN</t>
        </is>
      </c>
      <c r="F2998" t="inlineStr">
        <is>
          <t>Allmännings- och besparingsskogar</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60639-2020</t>
        </is>
      </c>
      <c r="B2999" s="1" t="n">
        <v>44153</v>
      </c>
      <c r="C2999" s="1" t="n">
        <v>45210</v>
      </c>
      <c r="D2999" t="inlineStr">
        <is>
          <t>DALARNAS LÄN</t>
        </is>
      </c>
      <c r="E2999" t="inlineStr">
        <is>
          <t>SÄTER</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60903-2020</t>
        </is>
      </c>
      <c r="B3000" s="1" t="n">
        <v>44153</v>
      </c>
      <c r="C3000" s="1" t="n">
        <v>45210</v>
      </c>
      <c r="D3000" t="inlineStr">
        <is>
          <t>DALARNAS LÄN</t>
        </is>
      </c>
      <c r="E3000" t="inlineStr">
        <is>
          <t>MALUNG-SÄLEN</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60819-2020</t>
        </is>
      </c>
      <c r="B3001" s="1" t="n">
        <v>44153</v>
      </c>
      <c r="C3001" s="1" t="n">
        <v>45210</v>
      </c>
      <c r="D3001" t="inlineStr">
        <is>
          <t>DALARNAS LÄN</t>
        </is>
      </c>
      <c r="E3001" t="inlineStr">
        <is>
          <t>RÄTTVIK</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61004-2020</t>
        </is>
      </c>
      <c r="B3002" s="1" t="n">
        <v>44154</v>
      </c>
      <c r="C3002" s="1" t="n">
        <v>45210</v>
      </c>
      <c r="D3002" t="inlineStr">
        <is>
          <t>DALARNAS LÄN</t>
        </is>
      </c>
      <c r="E3002" t="inlineStr">
        <is>
          <t>LUDVIKA</t>
        </is>
      </c>
      <c r="F3002" t="inlineStr">
        <is>
          <t>Bergvik skog väst AB</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61491-2020</t>
        </is>
      </c>
      <c r="B3003" s="1" t="n">
        <v>44154</v>
      </c>
      <c r="C3003" s="1" t="n">
        <v>45210</v>
      </c>
      <c r="D3003" t="inlineStr">
        <is>
          <t>DALARNAS LÄN</t>
        </is>
      </c>
      <c r="E3003" t="inlineStr">
        <is>
          <t>LUDVIKA</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60913-2020</t>
        </is>
      </c>
      <c r="B3004" s="1" t="n">
        <v>44154</v>
      </c>
      <c r="C3004" s="1" t="n">
        <v>45210</v>
      </c>
      <c r="D3004" t="inlineStr">
        <is>
          <t>DALARNAS LÄN</t>
        </is>
      </c>
      <c r="E3004" t="inlineStr">
        <is>
          <t>LUDVIKA</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60899-2020</t>
        </is>
      </c>
      <c r="B3005" s="1" t="n">
        <v>44154</v>
      </c>
      <c r="C3005" s="1" t="n">
        <v>45210</v>
      </c>
      <c r="D3005" t="inlineStr">
        <is>
          <t>DALARNAS LÄN</t>
        </is>
      </c>
      <c r="E3005" t="inlineStr">
        <is>
          <t>BORLÄNGE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60963-2020</t>
        </is>
      </c>
      <c r="B3006" s="1" t="n">
        <v>44154</v>
      </c>
      <c r="C3006" s="1" t="n">
        <v>45210</v>
      </c>
      <c r="D3006" t="inlineStr">
        <is>
          <t>DALARNAS LÄN</t>
        </is>
      </c>
      <c r="E3006" t="inlineStr">
        <is>
          <t>LEKSAND</t>
        </is>
      </c>
      <c r="F3006" t="inlineStr">
        <is>
          <t>Bergvik skog väst AB</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60822-2020</t>
        </is>
      </c>
      <c r="B3007" s="1" t="n">
        <v>44154</v>
      </c>
      <c r="C3007" s="1" t="n">
        <v>45210</v>
      </c>
      <c r="D3007" t="inlineStr">
        <is>
          <t>DALARNAS LÄN</t>
        </is>
      </c>
      <c r="E3007" t="inlineStr">
        <is>
          <t>LUDVIKA</t>
        </is>
      </c>
      <c r="F3007" t="inlineStr">
        <is>
          <t>Bergvik skog väst AB</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60882-2020</t>
        </is>
      </c>
      <c r="B3008" s="1" t="n">
        <v>44154</v>
      </c>
      <c r="C3008" s="1" t="n">
        <v>45210</v>
      </c>
      <c r="D3008" t="inlineStr">
        <is>
          <t>DALARNAS LÄN</t>
        </is>
      </c>
      <c r="E3008" t="inlineStr">
        <is>
          <t>SÄTER</t>
        </is>
      </c>
      <c r="F3008" t="inlineStr">
        <is>
          <t>Bergvik skog väst AB</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61084-2020</t>
        </is>
      </c>
      <c r="B3009" s="1" t="n">
        <v>44154</v>
      </c>
      <c r="C3009" s="1" t="n">
        <v>45210</v>
      </c>
      <c r="D3009" t="inlineStr">
        <is>
          <t>DALARNAS LÄN</t>
        </is>
      </c>
      <c r="E3009" t="inlineStr">
        <is>
          <t>GAGNEF</t>
        </is>
      </c>
      <c r="G3009" t="n">
        <v>0.4</v>
      </c>
      <c r="H3009" t="n">
        <v>0</v>
      </c>
      <c r="I3009" t="n">
        <v>0</v>
      </c>
      <c r="J3009" t="n">
        <v>0</v>
      </c>
      <c r="K3009" t="n">
        <v>0</v>
      </c>
      <c r="L3009" t="n">
        <v>0</v>
      </c>
      <c r="M3009" t="n">
        <v>0</v>
      </c>
      <c r="N3009" t="n">
        <v>0</v>
      </c>
      <c r="O3009" t="n">
        <v>0</v>
      </c>
      <c r="P3009" t="n">
        <v>0</v>
      </c>
      <c r="Q3009" t="n">
        <v>0</v>
      </c>
      <c r="R3009" s="2" t="inlineStr"/>
    </row>
    <row r="3010" ht="15" customHeight="1">
      <c r="A3010" t="inlineStr">
        <is>
          <t>A 61501-2020</t>
        </is>
      </c>
      <c r="B3010" s="1" t="n">
        <v>44154</v>
      </c>
      <c r="C3010" s="1" t="n">
        <v>45210</v>
      </c>
      <c r="D3010" t="inlineStr">
        <is>
          <t>DALARNAS LÄN</t>
        </is>
      </c>
      <c r="E3010" t="inlineStr">
        <is>
          <t>LUDVIKA</t>
        </is>
      </c>
      <c r="G3010" t="n">
        <v>10</v>
      </c>
      <c r="H3010" t="n">
        <v>0</v>
      </c>
      <c r="I3010" t="n">
        <v>0</v>
      </c>
      <c r="J3010" t="n">
        <v>0</v>
      </c>
      <c r="K3010" t="n">
        <v>0</v>
      </c>
      <c r="L3010" t="n">
        <v>0</v>
      </c>
      <c r="M3010" t="n">
        <v>0</v>
      </c>
      <c r="N3010" t="n">
        <v>0</v>
      </c>
      <c r="O3010" t="n">
        <v>0</v>
      </c>
      <c r="P3010" t="n">
        <v>0</v>
      </c>
      <c r="Q3010" t="n">
        <v>0</v>
      </c>
      <c r="R3010" s="2" t="inlineStr"/>
    </row>
    <row r="3011" ht="15" customHeight="1">
      <c r="A3011" t="inlineStr">
        <is>
          <t>A 61338-2020</t>
        </is>
      </c>
      <c r="B3011" s="1" t="n">
        <v>44155</v>
      </c>
      <c r="C3011" s="1" t="n">
        <v>45210</v>
      </c>
      <c r="D3011" t="inlineStr">
        <is>
          <t>DALARNAS LÄN</t>
        </is>
      </c>
      <c r="E3011" t="inlineStr">
        <is>
          <t>MORA</t>
        </is>
      </c>
      <c r="F3011" t="inlineStr">
        <is>
          <t>Bergvik skog väst AB</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61684-2020</t>
        </is>
      </c>
      <c r="B3012" s="1" t="n">
        <v>44158</v>
      </c>
      <c r="C3012" s="1" t="n">
        <v>45210</v>
      </c>
      <c r="D3012" t="inlineStr">
        <is>
          <t>DALARNAS LÄN</t>
        </is>
      </c>
      <c r="E3012" t="inlineStr">
        <is>
          <t>VANSBRO</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61471-2020</t>
        </is>
      </c>
      <c r="B3013" s="1" t="n">
        <v>44158</v>
      </c>
      <c r="C3013" s="1" t="n">
        <v>45210</v>
      </c>
      <c r="D3013" t="inlineStr">
        <is>
          <t>DALARNAS LÄN</t>
        </is>
      </c>
      <c r="E3013" t="inlineStr">
        <is>
          <t>VANSBRO</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61699-2020</t>
        </is>
      </c>
      <c r="B3014" s="1" t="n">
        <v>44158</v>
      </c>
      <c r="C3014" s="1" t="n">
        <v>45210</v>
      </c>
      <c r="D3014" t="inlineStr">
        <is>
          <t>DALARNAS LÄN</t>
        </is>
      </c>
      <c r="E3014" t="inlineStr">
        <is>
          <t>ORSA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61969-2020</t>
        </is>
      </c>
      <c r="B3015" s="1" t="n">
        <v>44159</v>
      </c>
      <c r="C3015" s="1" t="n">
        <v>45210</v>
      </c>
      <c r="D3015" t="inlineStr">
        <is>
          <t>DALARNAS LÄN</t>
        </is>
      </c>
      <c r="E3015" t="inlineStr">
        <is>
          <t>RÄTTVIK</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62014-2020</t>
        </is>
      </c>
      <c r="B3016" s="1" t="n">
        <v>44159</v>
      </c>
      <c r="C3016" s="1" t="n">
        <v>45210</v>
      </c>
      <c r="D3016" t="inlineStr">
        <is>
          <t>DALARNAS LÄN</t>
        </is>
      </c>
      <c r="E3016" t="inlineStr">
        <is>
          <t>RÄTTVIK</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62118-2020</t>
        </is>
      </c>
      <c r="B3017" s="1" t="n">
        <v>44159</v>
      </c>
      <c r="C3017" s="1" t="n">
        <v>45210</v>
      </c>
      <c r="D3017" t="inlineStr">
        <is>
          <t>DALARNAS LÄN</t>
        </is>
      </c>
      <c r="E3017" t="inlineStr">
        <is>
          <t>LEKSAND</t>
        </is>
      </c>
      <c r="F3017" t="inlineStr">
        <is>
          <t>Bergvik skog väst AB</t>
        </is>
      </c>
      <c r="G3017" t="n">
        <v>3.9</v>
      </c>
      <c r="H3017" t="n">
        <v>0</v>
      </c>
      <c r="I3017" t="n">
        <v>0</v>
      </c>
      <c r="J3017" t="n">
        <v>0</v>
      </c>
      <c r="K3017" t="n">
        <v>0</v>
      </c>
      <c r="L3017" t="n">
        <v>0</v>
      </c>
      <c r="M3017" t="n">
        <v>0</v>
      </c>
      <c r="N3017" t="n">
        <v>0</v>
      </c>
      <c r="O3017" t="n">
        <v>0</v>
      </c>
      <c r="P3017" t="n">
        <v>0</v>
      </c>
      <c r="Q3017" t="n">
        <v>0</v>
      </c>
      <c r="R3017" s="2" t="inlineStr"/>
    </row>
    <row r="3018" ht="15" customHeight="1">
      <c r="A3018" t="inlineStr">
        <is>
          <t>A 61838-2020</t>
        </is>
      </c>
      <c r="B3018" s="1" t="n">
        <v>44159</v>
      </c>
      <c r="C3018" s="1" t="n">
        <v>45210</v>
      </c>
      <c r="D3018" t="inlineStr">
        <is>
          <t>DALARNAS LÄN</t>
        </is>
      </c>
      <c r="E3018" t="inlineStr">
        <is>
          <t>LUDVIKA</t>
        </is>
      </c>
      <c r="F3018" t="inlineStr">
        <is>
          <t>Bergvik skog väst AB</t>
        </is>
      </c>
      <c r="G3018" t="n">
        <v>2.7</v>
      </c>
      <c r="H3018" t="n">
        <v>0</v>
      </c>
      <c r="I3018" t="n">
        <v>0</v>
      </c>
      <c r="J3018" t="n">
        <v>0</v>
      </c>
      <c r="K3018" t="n">
        <v>0</v>
      </c>
      <c r="L3018" t="n">
        <v>0</v>
      </c>
      <c r="M3018" t="n">
        <v>0</v>
      </c>
      <c r="N3018" t="n">
        <v>0</v>
      </c>
      <c r="O3018" t="n">
        <v>0</v>
      </c>
      <c r="P3018" t="n">
        <v>0</v>
      </c>
      <c r="Q3018" t="n">
        <v>0</v>
      </c>
      <c r="R3018" s="2" t="inlineStr"/>
    </row>
    <row r="3019" ht="15" customHeight="1">
      <c r="A3019" t="inlineStr">
        <is>
          <t>A 62215-2020</t>
        </is>
      </c>
      <c r="B3019" s="1" t="n">
        <v>44159</v>
      </c>
      <c r="C3019" s="1" t="n">
        <v>45210</v>
      </c>
      <c r="D3019" t="inlineStr">
        <is>
          <t>DALARNAS LÄN</t>
        </is>
      </c>
      <c r="E3019" t="inlineStr">
        <is>
          <t>SMEDJEBACKEN</t>
        </is>
      </c>
      <c r="F3019" t="inlineStr">
        <is>
          <t>Sveaskog</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61933-2020</t>
        </is>
      </c>
      <c r="B3020" s="1" t="n">
        <v>44159</v>
      </c>
      <c r="C3020" s="1" t="n">
        <v>45210</v>
      </c>
      <c r="D3020" t="inlineStr">
        <is>
          <t>DALARNAS LÄN</t>
        </is>
      </c>
      <c r="E3020" t="inlineStr">
        <is>
          <t>RÄTTVIK</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62147-2020</t>
        </is>
      </c>
      <c r="B3021" s="1" t="n">
        <v>44159</v>
      </c>
      <c r="C3021" s="1" t="n">
        <v>45210</v>
      </c>
      <c r="D3021" t="inlineStr">
        <is>
          <t>DALARNAS LÄN</t>
        </is>
      </c>
      <c r="E3021" t="inlineStr">
        <is>
          <t>AVESTA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63104-2020</t>
        </is>
      </c>
      <c r="B3022" s="1" t="n">
        <v>44159</v>
      </c>
      <c r="C3022" s="1" t="n">
        <v>45210</v>
      </c>
      <c r="D3022" t="inlineStr">
        <is>
          <t>DALARNAS LÄN</t>
        </is>
      </c>
      <c r="E3022" t="inlineStr">
        <is>
          <t>AVESTA</t>
        </is>
      </c>
      <c r="G3022" t="n">
        <v>8.9</v>
      </c>
      <c r="H3022" t="n">
        <v>0</v>
      </c>
      <c r="I3022" t="n">
        <v>0</v>
      </c>
      <c r="J3022" t="n">
        <v>0</v>
      </c>
      <c r="K3022" t="n">
        <v>0</v>
      </c>
      <c r="L3022" t="n">
        <v>0</v>
      </c>
      <c r="M3022" t="n">
        <v>0</v>
      </c>
      <c r="N3022" t="n">
        <v>0</v>
      </c>
      <c r="O3022" t="n">
        <v>0</v>
      </c>
      <c r="P3022" t="n">
        <v>0</v>
      </c>
      <c r="Q3022" t="n">
        <v>0</v>
      </c>
      <c r="R3022" s="2" t="inlineStr"/>
    </row>
    <row r="3023" ht="15" customHeight="1">
      <c r="A3023" t="inlineStr">
        <is>
          <t>A 62405-2020</t>
        </is>
      </c>
      <c r="B3023" s="1" t="n">
        <v>44160</v>
      </c>
      <c r="C3023" s="1" t="n">
        <v>45210</v>
      </c>
      <c r="D3023" t="inlineStr">
        <is>
          <t>DALARNAS LÄN</t>
        </is>
      </c>
      <c r="E3023" t="inlineStr">
        <is>
          <t>FALUN</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62493-2020</t>
        </is>
      </c>
      <c r="B3024" s="1" t="n">
        <v>44160</v>
      </c>
      <c r="C3024" s="1" t="n">
        <v>45210</v>
      </c>
      <c r="D3024" t="inlineStr">
        <is>
          <t>DALARNAS LÄN</t>
        </is>
      </c>
      <c r="E3024" t="inlineStr">
        <is>
          <t>RÄTTVIK</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62544-2020</t>
        </is>
      </c>
      <c r="B3025" s="1" t="n">
        <v>44160</v>
      </c>
      <c r="C3025" s="1" t="n">
        <v>45210</v>
      </c>
      <c r="D3025" t="inlineStr">
        <is>
          <t>DALARNAS LÄN</t>
        </is>
      </c>
      <c r="E3025" t="inlineStr">
        <is>
          <t>RÄTTVIK</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63374-2020</t>
        </is>
      </c>
      <c r="B3026" s="1" t="n">
        <v>44160</v>
      </c>
      <c r="C3026" s="1" t="n">
        <v>45210</v>
      </c>
      <c r="D3026" t="inlineStr">
        <is>
          <t>DALARNAS LÄN</t>
        </is>
      </c>
      <c r="E3026" t="inlineStr">
        <is>
          <t>ORSA</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62268-2020</t>
        </is>
      </c>
      <c r="B3027" s="1" t="n">
        <v>44160</v>
      </c>
      <c r="C3027" s="1" t="n">
        <v>45210</v>
      </c>
      <c r="D3027" t="inlineStr">
        <is>
          <t>DALARNAS LÄN</t>
        </is>
      </c>
      <c r="E3027" t="inlineStr">
        <is>
          <t>MORA</t>
        </is>
      </c>
      <c r="F3027" t="inlineStr">
        <is>
          <t>Bergvik skog väst AB</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62412-2020</t>
        </is>
      </c>
      <c r="B3028" s="1" t="n">
        <v>44160</v>
      </c>
      <c r="C3028" s="1" t="n">
        <v>45210</v>
      </c>
      <c r="D3028" t="inlineStr">
        <is>
          <t>DALARNAS LÄN</t>
        </is>
      </c>
      <c r="E3028" t="inlineStr">
        <is>
          <t>HEDEMORA</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62301-2020</t>
        </is>
      </c>
      <c r="B3029" s="1" t="n">
        <v>44160</v>
      </c>
      <c r="C3029" s="1" t="n">
        <v>45210</v>
      </c>
      <c r="D3029" t="inlineStr">
        <is>
          <t>DALARNAS LÄN</t>
        </is>
      </c>
      <c r="E3029" t="inlineStr">
        <is>
          <t>MORA</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62373-2020</t>
        </is>
      </c>
      <c r="B3030" s="1" t="n">
        <v>44160</v>
      </c>
      <c r="C3030" s="1" t="n">
        <v>45210</v>
      </c>
      <c r="D3030" t="inlineStr">
        <is>
          <t>DALARNAS LÄN</t>
        </is>
      </c>
      <c r="E3030" t="inlineStr">
        <is>
          <t>HEDEMORA</t>
        </is>
      </c>
      <c r="G3030" t="n">
        <v>12</v>
      </c>
      <c r="H3030" t="n">
        <v>0</v>
      </c>
      <c r="I3030" t="n">
        <v>0</v>
      </c>
      <c r="J3030" t="n">
        <v>0</v>
      </c>
      <c r="K3030" t="n">
        <v>0</v>
      </c>
      <c r="L3030" t="n">
        <v>0</v>
      </c>
      <c r="M3030" t="n">
        <v>0</v>
      </c>
      <c r="N3030" t="n">
        <v>0</v>
      </c>
      <c r="O3030" t="n">
        <v>0</v>
      </c>
      <c r="P3030" t="n">
        <v>0</v>
      </c>
      <c r="Q3030" t="n">
        <v>0</v>
      </c>
      <c r="R3030" s="2" t="inlineStr"/>
      <c r="U3030">
        <f>HYPERLINK("https://klasma.github.io/Logging_2083/knärot/A 62373-2020.png", "A 62373-2020")</f>
        <v/>
      </c>
      <c r="V3030">
        <f>HYPERLINK("https://klasma.github.io/Logging_2083/klagomål/A 62373-2020.docx", "A 62373-2020")</f>
        <v/>
      </c>
      <c r="W3030">
        <f>HYPERLINK("https://klasma.github.io/Logging_2083/klagomålsmail/A 62373-2020.docx", "A 62373-2020")</f>
        <v/>
      </c>
      <c r="X3030">
        <f>HYPERLINK("https://klasma.github.io/Logging_2083/tillsyn/A 62373-2020.docx", "A 62373-2020")</f>
        <v/>
      </c>
      <c r="Y3030">
        <f>HYPERLINK("https://klasma.github.io/Logging_2083/tillsynsmail/A 62373-2020.docx", "A 62373-2020")</f>
        <v/>
      </c>
    </row>
    <row r="3031" ht="15" customHeight="1">
      <c r="A3031" t="inlineStr">
        <is>
          <t>A 63367-2020</t>
        </is>
      </c>
      <c r="B3031" s="1" t="n">
        <v>44160</v>
      </c>
      <c r="C3031" s="1" t="n">
        <v>45210</v>
      </c>
      <c r="D3031" t="inlineStr">
        <is>
          <t>DALARNAS LÄN</t>
        </is>
      </c>
      <c r="E3031" t="inlineStr">
        <is>
          <t>ORSA</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62240-2020</t>
        </is>
      </c>
      <c r="B3032" s="1" t="n">
        <v>44160</v>
      </c>
      <c r="C3032" s="1" t="n">
        <v>45210</v>
      </c>
      <c r="D3032" t="inlineStr">
        <is>
          <t>DALARNAS LÄN</t>
        </is>
      </c>
      <c r="E3032" t="inlineStr">
        <is>
          <t>RÄTTVIK</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62358-2020</t>
        </is>
      </c>
      <c r="B3033" s="1" t="n">
        <v>44160</v>
      </c>
      <c r="C3033" s="1" t="n">
        <v>45210</v>
      </c>
      <c r="D3033" t="inlineStr">
        <is>
          <t>DALARNAS LÄN</t>
        </is>
      </c>
      <c r="E3033" t="inlineStr">
        <is>
          <t>FALUN</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62379-2020</t>
        </is>
      </c>
      <c r="B3034" s="1" t="n">
        <v>44160</v>
      </c>
      <c r="C3034" s="1" t="n">
        <v>45210</v>
      </c>
      <c r="D3034" t="inlineStr">
        <is>
          <t>DALARNAS LÄN</t>
        </is>
      </c>
      <c r="E3034" t="inlineStr">
        <is>
          <t>ORSA</t>
        </is>
      </c>
      <c r="F3034" t="inlineStr">
        <is>
          <t>Bergvik skog öst AB</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63481-2020</t>
        </is>
      </c>
      <c r="B3035" s="1" t="n">
        <v>44161</v>
      </c>
      <c r="C3035" s="1" t="n">
        <v>45210</v>
      </c>
      <c r="D3035" t="inlineStr">
        <is>
          <t>DALARNAS LÄN</t>
        </is>
      </c>
      <c r="E3035" t="inlineStr">
        <is>
          <t>LEKSAND</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62690-2020</t>
        </is>
      </c>
      <c r="B3036" s="1" t="n">
        <v>44161</v>
      </c>
      <c r="C3036" s="1" t="n">
        <v>45210</v>
      </c>
      <c r="D3036" t="inlineStr">
        <is>
          <t>DALARNAS LÄN</t>
        </is>
      </c>
      <c r="E3036" t="inlineStr">
        <is>
          <t>SMEDJEBACKEN</t>
        </is>
      </c>
      <c r="G3036" t="n">
        <v>4.5</v>
      </c>
      <c r="H3036" t="n">
        <v>0</v>
      </c>
      <c r="I3036" t="n">
        <v>0</v>
      </c>
      <c r="J3036" t="n">
        <v>0</v>
      </c>
      <c r="K3036" t="n">
        <v>0</v>
      </c>
      <c r="L3036" t="n">
        <v>0</v>
      </c>
      <c r="M3036" t="n">
        <v>0</v>
      </c>
      <c r="N3036" t="n">
        <v>0</v>
      </c>
      <c r="O3036" t="n">
        <v>0</v>
      </c>
      <c r="P3036" t="n">
        <v>0</v>
      </c>
      <c r="Q3036" t="n">
        <v>0</v>
      </c>
      <c r="R3036" s="2" t="inlineStr"/>
    </row>
    <row r="3037" ht="15" customHeight="1">
      <c r="A3037" t="inlineStr">
        <is>
          <t>A 62700-2020</t>
        </is>
      </c>
      <c r="B3037" s="1" t="n">
        <v>44161</v>
      </c>
      <c r="C3037" s="1" t="n">
        <v>45210</v>
      </c>
      <c r="D3037" t="inlineStr">
        <is>
          <t>DALARNAS LÄN</t>
        </is>
      </c>
      <c r="E3037" t="inlineStr">
        <is>
          <t>RÄTTVIK</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62672-2020</t>
        </is>
      </c>
      <c r="B3038" s="1" t="n">
        <v>44161</v>
      </c>
      <c r="C3038" s="1" t="n">
        <v>45210</v>
      </c>
      <c r="D3038" t="inlineStr">
        <is>
          <t>DALARNAS LÄN</t>
        </is>
      </c>
      <c r="E3038" t="inlineStr">
        <is>
          <t>FALUN</t>
        </is>
      </c>
      <c r="F3038" t="inlineStr">
        <is>
          <t>Bergvik skog väst AB</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63131-2020</t>
        </is>
      </c>
      <c r="B3039" s="1" t="n">
        <v>44162</v>
      </c>
      <c r="C3039" s="1" t="n">
        <v>45210</v>
      </c>
      <c r="D3039" t="inlineStr">
        <is>
          <t>DALARNAS LÄN</t>
        </is>
      </c>
      <c r="E3039" t="inlineStr">
        <is>
          <t>GAGNEF</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62978-2020</t>
        </is>
      </c>
      <c r="B3040" s="1" t="n">
        <v>44162</v>
      </c>
      <c r="C3040" s="1" t="n">
        <v>45210</v>
      </c>
      <c r="D3040" t="inlineStr">
        <is>
          <t>DALARNAS LÄN</t>
        </is>
      </c>
      <c r="E3040" t="inlineStr">
        <is>
          <t>FALUN</t>
        </is>
      </c>
      <c r="F3040" t="inlineStr">
        <is>
          <t>Bergvik skog väst AB</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62893-2020</t>
        </is>
      </c>
      <c r="B3041" s="1" t="n">
        <v>44162</v>
      </c>
      <c r="C3041" s="1" t="n">
        <v>45210</v>
      </c>
      <c r="D3041" t="inlineStr">
        <is>
          <t>DALARNAS LÄN</t>
        </is>
      </c>
      <c r="E3041" t="inlineStr">
        <is>
          <t>RÄTTVIK</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63249-2020</t>
        </is>
      </c>
      <c r="B3042" s="1" t="n">
        <v>44164</v>
      </c>
      <c r="C3042" s="1" t="n">
        <v>45210</v>
      </c>
      <c r="D3042" t="inlineStr">
        <is>
          <t>DALARNAS LÄN</t>
        </is>
      </c>
      <c r="E3042" t="inlineStr">
        <is>
          <t>SMEDJEBACKEN</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63255-2020</t>
        </is>
      </c>
      <c r="B3043" s="1" t="n">
        <v>44164</v>
      </c>
      <c r="C3043" s="1" t="n">
        <v>45210</v>
      </c>
      <c r="D3043" t="inlineStr">
        <is>
          <t>DALARNAS LÄN</t>
        </is>
      </c>
      <c r="E3043" t="inlineStr">
        <is>
          <t>SMEDJEBACKEN</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63248-2020</t>
        </is>
      </c>
      <c r="B3044" s="1" t="n">
        <v>44164</v>
      </c>
      <c r="C3044" s="1" t="n">
        <v>45210</v>
      </c>
      <c r="D3044" t="inlineStr">
        <is>
          <t>DALARNAS LÄN</t>
        </is>
      </c>
      <c r="E3044" t="inlineStr">
        <is>
          <t>SMEDJEBACKEN</t>
        </is>
      </c>
      <c r="G3044" t="n">
        <v>0.3</v>
      </c>
      <c r="H3044" t="n">
        <v>0</v>
      </c>
      <c r="I3044" t="n">
        <v>0</v>
      </c>
      <c r="J3044" t="n">
        <v>0</v>
      </c>
      <c r="K3044" t="n">
        <v>0</v>
      </c>
      <c r="L3044" t="n">
        <v>0</v>
      </c>
      <c r="M3044" t="n">
        <v>0</v>
      </c>
      <c r="N3044" t="n">
        <v>0</v>
      </c>
      <c r="O3044" t="n">
        <v>0</v>
      </c>
      <c r="P3044" t="n">
        <v>0</v>
      </c>
      <c r="Q3044" t="n">
        <v>0</v>
      </c>
      <c r="R3044" s="2" t="inlineStr"/>
    </row>
    <row r="3045" ht="15" customHeight="1">
      <c r="A3045" t="inlineStr">
        <is>
          <t>A 63352-2020</t>
        </is>
      </c>
      <c r="B3045" s="1" t="n">
        <v>44165</v>
      </c>
      <c r="C3045" s="1" t="n">
        <v>45210</v>
      </c>
      <c r="D3045" t="inlineStr">
        <is>
          <t>DALARNAS LÄN</t>
        </is>
      </c>
      <c r="E3045" t="inlineStr">
        <is>
          <t>MALUNG-SÄLEN</t>
        </is>
      </c>
      <c r="F3045" t="inlineStr">
        <is>
          <t>Bergvik skog öst AB</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63585-2020</t>
        </is>
      </c>
      <c r="B3046" s="1" t="n">
        <v>44165</v>
      </c>
      <c r="C3046" s="1" t="n">
        <v>45210</v>
      </c>
      <c r="D3046" t="inlineStr">
        <is>
          <t>DALARNAS LÄN</t>
        </is>
      </c>
      <c r="E3046" t="inlineStr">
        <is>
          <t>GAGNEF</t>
        </is>
      </c>
      <c r="F3046" t="inlineStr">
        <is>
          <t>Bergvik skog väst AB</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63296-2020</t>
        </is>
      </c>
      <c r="B3047" s="1" t="n">
        <v>44165</v>
      </c>
      <c r="C3047" s="1" t="n">
        <v>45210</v>
      </c>
      <c r="D3047" t="inlineStr">
        <is>
          <t>DALARNAS LÄN</t>
        </is>
      </c>
      <c r="E3047" t="inlineStr">
        <is>
          <t>ÄLVDALEN</t>
        </is>
      </c>
      <c r="F3047" t="inlineStr">
        <is>
          <t>Bergvik skog väst AB</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63543-2020</t>
        </is>
      </c>
      <c r="B3048" s="1" t="n">
        <v>44165</v>
      </c>
      <c r="C3048" s="1" t="n">
        <v>45210</v>
      </c>
      <c r="D3048" t="inlineStr">
        <is>
          <t>DALARNAS LÄN</t>
        </is>
      </c>
      <c r="E3048" t="inlineStr">
        <is>
          <t>ORSA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63854-2020</t>
        </is>
      </c>
      <c r="B3049" s="1" t="n">
        <v>44165</v>
      </c>
      <c r="C3049" s="1" t="n">
        <v>45210</v>
      </c>
      <c r="D3049" t="inlineStr">
        <is>
          <t>DALARNAS LÄN</t>
        </is>
      </c>
      <c r="E3049" t="inlineStr">
        <is>
          <t>SMEDJEBACKEN</t>
        </is>
      </c>
      <c r="G3049" t="n">
        <v>22.4</v>
      </c>
      <c r="H3049" t="n">
        <v>0</v>
      </c>
      <c r="I3049" t="n">
        <v>0</v>
      </c>
      <c r="J3049" t="n">
        <v>0</v>
      </c>
      <c r="K3049" t="n">
        <v>0</v>
      </c>
      <c r="L3049" t="n">
        <v>0</v>
      </c>
      <c r="M3049" t="n">
        <v>0</v>
      </c>
      <c r="N3049" t="n">
        <v>0</v>
      </c>
      <c r="O3049" t="n">
        <v>0</v>
      </c>
      <c r="P3049" t="n">
        <v>0</v>
      </c>
      <c r="Q3049" t="n">
        <v>0</v>
      </c>
      <c r="R3049" s="2" t="inlineStr"/>
    </row>
    <row r="3050" ht="15" customHeight="1">
      <c r="A3050" t="inlineStr">
        <is>
          <t>A 63799-2020</t>
        </is>
      </c>
      <c r="B3050" s="1" t="n">
        <v>44165</v>
      </c>
      <c r="C3050" s="1" t="n">
        <v>45210</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63684-2020</t>
        </is>
      </c>
      <c r="B3051" s="1" t="n">
        <v>44166</v>
      </c>
      <c r="C3051" s="1" t="n">
        <v>45210</v>
      </c>
      <c r="D3051" t="inlineStr">
        <is>
          <t>DALARNAS LÄN</t>
        </is>
      </c>
      <c r="E3051" t="inlineStr">
        <is>
          <t>SMEDJEBACKEN</t>
        </is>
      </c>
      <c r="F3051" t="inlineStr">
        <is>
          <t>Sveaskog</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63898-2020</t>
        </is>
      </c>
      <c r="B3052" s="1" t="n">
        <v>44166</v>
      </c>
      <c r="C3052" s="1" t="n">
        <v>45210</v>
      </c>
      <c r="D3052" t="inlineStr">
        <is>
          <t>DALARNAS LÄN</t>
        </is>
      </c>
      <c r="E3052" t="inlineStr">
        <is>
          <t>FALUN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63903-2020</t>
        </is>
      </c>
      <c r="B3053" s="1" t="n">
        <v>44166</v>
      </c>
      <c r="C3053" s="1" t="n">
        <v>45210</v>
      </c>
      <c r="D3053" t="inlineStr">
        <is>
          <t>DALARNAS LÄN</t>
        </is>
      </c>
      <c r="E3053" t="inlineStr">
        <is>
          <t>MALUNG-SÄLEN</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63896-2020</t>
        </is>
      </c>
      <c r="B3054" s="1" t="n">
        <v>44166</v>
      </c>
      <c r="C3054" s="1" t="n">
        <v>45210</v>
      </c>
      <c r="D3054" t="inlineStr">
        <is>
          <t>DALARNAS LÄN</t>
        </is>
      </c>
      <c r="E3054" t="inlineStr">
        <is>
          <t>MALUNG-SÄLEN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63767-2020</t>
        </is>
      </c>
      <c r="B3055" s="1" t="n">
        <v>44166</v>
      </c>
      <c r="C3055" s="1" t="n">
        <v>45210</v>
      </c>
      <c r="D3055" t="inlineStr">
        <is>
          <t>DALARNAS LÄN</t>
        </is>
      </c>
      <c r="E3055" t="inlineStr">
        <is>
          <t>LUDVIKA</t>
        </is>
      </c>
      <c r="F3055" t="inlineStr">
        <is>
          <t>Kommuner</t>
        </is>
      </c>
      <c r="G3055" t="n">
        <v>1.9</v>
      </c>
      <c r="H3055" t="n">
        <v>0</v>
      </c>
      <c r="I3055" t="n">
        <v>0</v>
      </c>
      <c r="J3055" t="n">
        <v>0</v>
      </c>
      <c r="K3055" t="n">
        <v>0</v>
      </c>
      <c r="L3055" t="n">
        <v>0</v>
      </c>
      <c r="M3055" t="n">
        <v>0</v>
      </c>
      <c r="N3055" t="n">
        <v>0</v>
      </c>
      <c r="O3055" t="n">
        <v>0</v>
      </c>
      <c r="P3055" t="n">
        <v>0</v>
      </c>
      <c r="Q3055" t="n">
        <v>0</v>
      </c>
      <c r="R3055" s="2" t="inlineStr"/>
    </row>
    <row r="3056" ht="15" customHeight="1">
      <c r="A3056" t="inlineStr">
        <is>
          <t>A 63890-2020</t>
        </is>
      </c>
      <c r="B3056" s="1" t="n">
        <v>44166</v>
      </c>
      <c r="C3056" s="1" t="n">
        <v>45210</v>
      </c>
      <c r="D3056" t="inlineStr">
        <is>
          <t>DALARNAS LÄN</t>
        </is>
      </c>
      <c r="E3056" t="inlineStr">
        <is>
          <t>MALUNG-SÄLEN</t>
        </is>
      </c>
      <c r="G3056" t="n">
        <v>2.7</v>
      </c>
      <c r="H3056" t="n">
        <v>0</v>
      </c>
      <c r="I3056" t="n">
        <v>0</v>
      </c>
      <c r="J3056" t="n">
        <v>0</v>
      </c>
      <c r="K3056" t="n">
        <v>0</v>
      </c>
      <c r="L3056" t="n">
        <v>0</v>
      </c>
      <c r="M3056" t="n">
        <v>0</v>
      </c>
      <c r="N3056" t="n">
        <v>0</v>
      </c>
      <c r="O3056" t="n">
        <v>0</v>
      </c>
      <c r="P3056" t="n">
        <v>0</v>
      </c>
      <c r="Q3056" t="n">
        <v>0</v>
      </c>
      <c r="R3056" s="2" t="inlineStr"/>
    </row>
    <row r="3057" ht="15" customHeight="1">
      <c r="A3057" t="inlineStr">
        <is>
          <t>A 63902-2020</t>
        </is>
      </c>
      <c r="B3057" s="1" t="n">
        <v>44166</v>
      </c>
      <c r="C3057" s="1" t="n">
        <v>45210</v>
      </c>
      <c r="D3057" t="inlineStr">
        <is>
          <t>DALARNAS LÄN</t>
        </is>
      </c>
      <c r="E3057" t="inlineStr">
        <is>
          <t>FALUN</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64036-2020</t>
        </is>
      </c>
      <c r="B3058" s="1" t="n">
        <v>44167</v>
      </c>
      <c r="C3058" s="1" t="n">
        <v>45210</v>
      </c>
      <c r="D3058" t="inlineStr">
        <is>
          <t>DALARNAS LÄN</t>
        </is>
      </c>
      <c r="E3058" t="inlineStr">
        <is>
          <t>BORLÄNGE</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64082-2020</t>
        </is>
      </c>
      <c r="B3059" s="1" t="n">
        <v>44167</v>
      </c>
      <c r="C3059" s="1" t="n">
        <v>45210</v>
      </c>
      <c r="D3059" t="inlineStr">
        <is>
          <t>DALARNAS LÄN</t>
        </is>
      </c>
      <c r="E3059" t="inlineStr">
        <is>
          <t>VANSBRO</t>
        </is>
      </c>
      <c r="F3059" t="inlineStr">
        <is>
          <t>Bergvik skog väst AB</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64109-2020</t>
        </is>
      </c>
      <c r="B3060" s="1" t="n">
        <v>44167</v>
      </c>
      <c r="C3060" s="1" t="n">
        <v>45210</v>
      </c>
      <c r="D3060" t="inlineStr">
        <is>
          <t>DALARNAS LÄN</t>
        </is>
      </c>
      <c r="E3060" t="inlineStr">
        <is>
          <t>LEKSAND</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64260-2020</t>
        </is>
      </c>
      <c r="B3061" s="1" t="n">
        <v>44168</v>
      </c>
      <c r="C3061" s="1" t="n">
        <v>45210</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64469-2020</t>
        </is>
      </c>
      <c r="B3062" s="1" t="n">
        <v>44168</v>
      </c>
      <c r="C3062" s="1" t="n">
        <v>45210</v>
      </c>
      <c r="D3062" t="inlineStr">
        <is>
          <t>DALARNAS LÄN</t>
        </is>
      </c>
      <c r="E3062" t="inlineStr">
        <is>
          <t>SÄTER</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65150-2020</t>
        </is>
      </c>
      <c r="B3063" s="1" t="n">
        <v>44168</v>
      </c>
      <c r="C3063" s="1" t="n">
        <v>45210</v>
      </c>
      <c r="D3063" t="inlineStr">
        <is>
          <t>DALARNAS LÄN</t>
        </is>
      </c>
      <c r="E3063" t="inlineStr">
        <is>
          <t>LUDVIKA</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64466-2020</t>
        </is>
      </c>
      <c r="B3064" s="1" t="n">
        <v>44168</v>
      </c>
      <c r="C3064" s="1" t="n">
        <v>45210</v>
      </c>
      <c r="D3064" t="inlineStr">
        <is>
          <t>DALARNAS LÄN</t>
        </is>
      </c>
      <c r="E3064" t="inlineStr">
        <is>
          <t>SÄTER</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64449-2020</t>
        </is>
      </c>
      <c r="B3065" s="1" t="n">
        <v>44168</v>
      </c>
      <c r="C3065" s="1" t="n">
        <v>45210</v>
      </c>
      <c r="D3065" t="inlineStr">
        <is>
          <t>DALARNAS LÄN</t>
        </is>
      </c>
      <c r="E3065" t="inlineStr">
        <is>
          <t>LEKSAND</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64467-2020</t>
        </is>
      </c>
      <c r="B3066" s="1" t="n">
        <v>44168</v>
      </c>
      <c r="C3066" s="1" t="n">
        <v>45210</v>
      </c>
      <c r="D3066" t="inlineStr">
        <is>
          <t>DALARNAS LÄN</t>
        </is>
      </c>
      <c r="E3066" t="inlineStr">
        <is>
          <t>SÄTER</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64714-2020</t>
        </is>
      </c>
      <c r="B3067" s="1" t="n">
        <v>44169</v>
      </c>
      <c r="C3067" s="1" t="n">
        <v>45210</v>
      </c>
      <c r="D3067" t="inlineStr">
        <is>
          <t>DALARNAS LÄN</t>
        </is>
      </c>
      <c r="E3067" t="inlineStr">
        <is>
          <t>VANSBRO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64584-2020</t>
        </is>
      </c>
      <c r="B3068" s="1" t="n">
        <v>44169</v>
      </c>
      <c r="C3068" s="1" t="n">
        <v>45210</v>
      </c>
      <c r="D3068" t="inlineStr">
        <is>
          <t>DALARNAS LÄN</t>
        </is>
      </c>
      <c r="E3068" t="inlineStr">
        <is>
          <t>FALUN</t>
        </is>
      </c>
      <c r="F3068" t="inlineStr">
        <is>
          <t>Bergvik skog väst AB</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64624-2020</t>
        </is>
      </c>
      <c r="B3069" s="1" t="n">
        <v>44169</v>
      </c>
      <c r="C3069" s="1" t="n">
        <v>45210</v>
      </c>
      <c r="D3069" t="inlineStr">
        <is>
          <t>DALARNAS LÄN</t>
        </is>
      </c>
      <c r="E3069" t="inlineStr">
        <is>
          <t>FALUN</t>
        </is>
      </c>
      <c r="F3069" t="inlineStr">
        <is>
          <t>Bergvik skog väst AB</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64564-2020</t>
        </is>
      </c>
      <c r="B3070" s="1" t="n">
        <v>44169</v>
      </c>
      <c r="C3070" s="1" t="n">
        <v>45210</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c r="U3070">
        <f>HYPERLINK("https://klasma.github.io/Logging_2080/knärot/A 64564-2020.png", "A 64564-2020")</f>
        <v/>
      </c>
      <c r="V3070">
        <f>HYPERLINK("https://klasma.github.io/Logging_2080/klagomål/A 64564-2020.docx", "A 64564-2020")</f>
        <v/>
      </c>
      <c r="W3070">
        <f>HYPERLINK("https://klasma.github.io/Logging_2080/klagomålsmail/A 64564-2020.docx", "A 64564-2020")</f>
        <v/>
      </c>
      <c r="X3070">
        <f>HYPERLINK("https://klasma.github.io/Logging_2080/tillsyn/A 64564-2020.docx", "A 64564-2020")</f>
        <v/>
      </c>
      <c r="Y3070">
        <f>HYPERLINK("https://klasma.github.io/Logging_2080/tillsynsmail/A 64564-2020.docx", "A 64564-2020")</f>
        <v/>
      </c>
    </row>
    <row r="3071" ht="15" customHeight="1">
      <c r="A3071" t="inlineStr">
        <is>
          <t>A 65301-2020</t>
        </is>
      </c>
      <c r="B3071" s="1" t="n">
        <v>44169</v>
      </c>
      <c r="C3071" s="1" t="n">
        <v>45210</v>
      </c>
      <c r="D3071" t="inlineStr">
        <is>
          <t>DALARNAS LÄN</t>
        </is>
      </c>
      <c r="E3071" t="inlineStr">
        <is>
          <t>MORA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64876-2020</t>
        </is>
      </c>
      <c r="B3072" s="1" t="n">
        <v>44171</v>
      </c>
      <c r="C3072" s="1" t="n">
        <v>45210</v>
      </c>
      <c r="D3072" t="inlineStr">
        <is>
          <t>DALARNAS LÄN</t>
        </is>
      </c>
      <c r="E3072" t="inlineStr">
        <is>
          <t>LEKSAND</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65148-2020</t>
        </is>
      </c>
      <c r="B3073" s="1" t="n">
        <v>44172</v>
      </c>
      <c r="C3073" s="1" t="n">
        <v>45210</v>
      </c>
      <c r="D3073" t="inlineStr">
        <is>
          <t>DALARNAS LÄN</t>
        </is>
      </c>
      <c r="E3073" t="inlineStr">
        <is>
          <t>GAGNEF</t>
        </is>
      </c>
      <c r="G3073" t="n">
        <v>3.7</v>
      </c>
      <c r="H3073" t="n">
        <v>0</v>
      </c>
      <c r="I3073" t="n">
        <v>0</v>
      </c>
      <c r="J3073" t="n">
        <v>0</v>
      </c>
      <c r="K3073" t="n">
        <v>0</v>
      </c>
      <c r="L3073" t="n">
        <v>0</v>
      </c>
      <c r="M3073" t="n">
        <v>0</v>
      </c>
      <c r="N3073" t="n">
        <v>0</v>
      </c>
      <c r="O3073" t="n">
        <v>0</v>
      </c>
      <c r="P3073" t="n">
        <v>0</v>
      </c>
      <c r="Q3073" t="n">
        <v>0</v>
      </c>
      <c r="R3073" s="2" t="inlineStr"/>
    </row>
    <row r="3074" ht="15" customHeight="1">
      <c r="A3074" t="inlineStr">
        <is>
          <t>A 64934-2020</t>
        </is>
      </c>
      <c r="B3074" s="1" t="n">
        <v>44172</v>
      </c>
      <c r="C3074" s="1" t="n">
        <v>45210</v>
      </c>
      <c r="D3074" t="inlineStr">
        <is>
          <t>DALARNAS LÄN</t>
        </is>
      </c>
      <c r="E3074" t="inlineStr">
        <is>
          <t>BORLÄNGE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65058-2020</t>
        </is>
      </c>
      <c r="B3075" s="1" t="n">
        <v>44172</v>
      </c>
      <c r="C3075" s="1" t="n">
        <v>45210</v>
      </c>
      <c r="D3075" t="inlineStr">
        <is>
          <t>DALARNAS LÄN</t>
        </is>
      </c>
      <c r="E3075" t="inlineStr">
        <is>
          <t>LEKSAND</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65526-2020</t>
        </is>
      </c>
      <c r="B3076" s="1" t="n">
        <v>44172</v>
      </c>
      <c r="C3076" s="1" t="n">
        <v>45210</v>
      </c>
      <c r="D3076" t="inlineStr">
        <is>
          <t>DALARNAS LÄN</t>
        </is>
      </c>
      <c r="E3076" t="inlineStr">
        <is>
          <t>GAGNEF</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65395-2020</t>
        </is>
      </c>
      <c r="B3077" s="1" t="n">
        <v>44173</v>
      </c>
      <c r="C3077" s="1" t="n">
        <v>45210</v>
      </c>
      <c r="D3077" t="inlineStr">
        <is>
          <t>DALARNAS LÄN</t>
        </is>
      </c>
      <c r="E3077" t="inlineStr">
        <is>
          <t>VANSBRO</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65381-2020</t>
        </is>
      </c>
      <c r="B3078" s="1" t="n">
        <v>44173</v>
      </c>
      <c r="C3078" s="1" t="n">
        <v>45210</v>
      </c>
      <c r="D3078" t="inlineStr">
        <is>
          <t>DALARNAS LÄN</t>
        </is>
      </c>
      <c r="E3078" t="inlineStr">
        <is>
          <t>RÄTTVIK</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65391-2020</t>
        </is>
      </c>
      <c r="B3079" s="1" t="n">
        <v>44173</v>
      </c>
      <c r="C3079" s="1" t="n">
        <v>45210</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65393-2020</t>
        </is>
      </c>
      <c r="B3080" s="1" t="n">
        <v>44173</v>
      </c>
      <c r="C3080" s="1" t="n">
        <v>45210</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65322-2020</t>
        </is>
      </c>
      <c r="B3081" s="1" t="n">
        <v>44173</v>
      </c>
      <c r="C3081" s="1" t="n">
        <v>45210</v>
      </c>
      <c r="D3081" t="inlineStr">
        <is>
          <t>DALARNAS LÄN</t>
        </is>
      </c>
      <c r="E3081" t="inlineStr">
        <is>
          <t>VANSBRO</t>
        </is>
      </c>
      <c r="F3081" t="inlineStr">
        <is>
          <t>Bergvik skog väst AB</t>
        </is>
      </c>
      <c r="G3081" t="n">
        <v>9.9</v>
      </c>
      <c r="H3081" t="n">
        <v>0</v>
      </c>
      <c r="I3081" t="n">
        <v>0</v>
      </c>
      <c r="J3081" t="n">
        <v>0</v>
      </c>
      <c r="K3081" t="n">
        <v>0</v>
      </c>
      <c r="L3081" t="n">
        <v>0</v>
      </c>
      <c r="M3081" t="n">
        <v>0</v>
      </c>
      <c r="N3081" t="n">
        <v>0</v>
      </c>
      <c r="O3081" t="n">
        <v>0</v>
      </c>
      <c r="P3081" t="n">
        <v>0</v>
      </c>
      <c r="Q3081" t="n">
        <v>0</v>
      </c>
      <c r="R3081" s="2" t="inlineStr"/>
    </row>
    <row r="3082" ht="15" customHeight="1">
      <c r="A3082" t="inlineStr">
        <is>
          <t>A 65396-2020</t>
        </is>
      </c>
      <c r="B3082" s="1" t="n">
        <v>44173</v>
      </c>
      <c r="C3082" s="1" t="n">
        <v>45210</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66169-2020</t>
        </is>
      </c>
      <c r="B3083" s="1" t="n">
        <v>44174</v>
      </c>
      <c r="C3083" s="1" t="n">
        <v>45210</v>
      </c>
      <c r="D3083" t="inlineStr">
        <is>
          <t>DALARNAS LÄN</t>
        </is>
      </c>
      <c r="E3083" t="inlineStr">
        <is>
          <t>LEKSAND</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65908-2020</t>
        </is>
      </c>
      <c r="B3084" s="1" t="n">
        <v>44174</v>
      </c>
      <c r="C3084" s="1" t="n">
        <v>45210</v>
      </c>
      <c r="D3084" t="inlineStr">
        <is>
          <t>DALARNAS LÄN</t>
        </is>
      </c>
      <c r="E3084" t="inlineStr">
        <is>
          <t>BORLÄNGE</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66188-2020</t>
        </is>
      </c>
      <c r="B3085" s="1" t="n">
        <v>44174</v>
      </c>
      <c r="C3085" s="1" t="n">
        <v>45210</v>
      </c>
      <c r="D3085" t="inlineStr">
        <is>
          <t>DALARNAS LÄN</t>
        </is>
      </c>
      <c r="E3085" t="inlineStr">
        <is>
          <t>LUDVIKA</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65998-2020</t>
        </is>
      </c>
      <c r="B3086" s="1" t="n">
        <v>44175</v>
      </c>
      <c r="C3086" s="1" t="n">
        <v>45210</v>
      </c>
      <c r="D3086" t="inlineStr">
        <is>
          <t>DALARNAS LÄN</t>
        </is>
      </c>
      <c r="E3086" t="inlineStr">
        <is>
          <t>SÄTER</t>
        </is>
      </c>
      <c r="F3086" t="inlineStr">
        <is>
          <t>Bergvik skog väst AB</t>
        </is>
      </c>
      <c r="G3086" t="n">
        <v>8.1</v>
      </c>
      <c r="H3086" t="n">
        <v>0</v>
      </c>
      <c r="I3086" t="n">
        <v>0</v>
      </c>
      <c r="J3086" t="n">
        <v>0</v>
      </c>
      <c r="K3086" t="n">
        <v>0</v>
      </c>
      <c r="L3086" t="n">
        <v>0</v>
      </c>
      <c r="M3086" t="n">
        <v>0</v>
      </c>
      <c r="N3086" t="n">
        <v>0</v>
      </c>
      <c r="O3086" t="n">
        <v>0</v>
      </c>
      <c r="P3086" t="n">
        <v>0</v>
      </c>
      <c r="Q3086" t="n">
        <v>0</v>
      </c>
      <c r="R3086" s="2" t="inlineStr"/>
    </row>
    <row r="3087" ht="15" customHeight="1">
      <c r="A3087" t="inlineStr">
        <is>
          <t>A 66064-2020</t>
        </is>
      </c>
      <c r="B3087" s="1" t="n">
        <v>44175</v>
      </c>
      <c r="C3087" s="1" t="n">
        <v>45210</v>
      </c>
      <c r="D3087" t="inlineStr">
        <is>
          <t>DALARNAS LÄN</t>
        </is>
      </c>
      <c r="E3087" t="inlineStr">
        <is>
          <t>HEDEMORA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65949-2020</t>
        </is>
      </c>
      <c r="B3088" s="1" t="n">
        <v>44175</v>
      </c>
      <c r="C3088" s="1" t="n">
        <v>45210</v>
      </c>
      <c r="D3088" t="inlineStr">
        <is>
          <t>DALARNAS LÄN</t>
        </is>
      </c>
      <c r="E3088" t="inlineStr">
        <is>
          <t>SÄTER</t>
        </is>
      </c>
      <c r="F3088" t="inlineStr">
        <is>
          <t>Bergvik skog väst AB</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66172-2020</t>
        </is>
      </c>
      <c r="B3089" s="1" t="n">
        <v>44175</v>
      </c>
      <c r="C3089" s="1" t="n">
        <v>45210</v>
      </c>
      <c r="D3089" t="inlineStr">
        <is>
          <t>DALARNAS LÄN</t>
        </is>
      </c>
      <c r="E3089" t="inlineStr">
        <is>
          <t>RÄTTVIK</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66119-2020</t>
        </is>
      </c>
      <c r="B3090" s="1" t="n">
        <v>44175</v>
      </c>
      <c r="C3090" s="1" t="n">
        <v>45210</v>
      </c>
      <c r="D3090" t="inlineStr">
        <is>
          <t>DALARNAS LÄN</t>
        </is>
      </c>
      <c r="E3090" t="inlineStr">
        <is>
          <t>FALUN</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66323-2020</t>
        </is>
      </c>
      <c r="B3091" s="1" t="n">
        <v>44176</v>
      </c>
      <c r="C3091" s="1" t="n">
        <v>45210</v>
      </c>
      <c r="D3091" t="inlineStr">
        <is>
          <t>DALARNAS LÄN</t>
        </is>
      </c>
      <c r="E3091" t="inlineStr">
        <is>
          <t>ORSA</t>
        </is>
      </c>
      <c r="G3091" t="n">
        <v>3.1</v>
      </c>
      <c r="H3091" t="n">
        <v>0</v>
      </c>
      <c r="I3091" t="n">
        <v>0</v>
      </c>
      <c r="J3091" t="n">
        <v>0</v>
      </c>
      <c r="K3091" t="n">
        <v>0</v>
      </c>
      <c r="L3091" t="n">
        <v>0</v>
      </c>
      <c r="M3091" t="n">
        <v>0</v>
      </c>
      <c r="N3091" t="n">
        <v>0</v>
      </c>
      <c r="O3091" t="n">
        <v>0</v>
      </c>
      <c r="P3091" t="n">
        <v>0</v>
      </c>
      <c r="Q3091" t="n">
        <v>0</v>
      </c>
      <c r="R3091" s="2" t="inlineStr"/>
    </row>
    <row r="3092" ht="15" customHeight="1">
      <c r="A3092" t="inlineStr">
        <is>
          <t>A 66461-2020</t>
        </is>
      </c>
      <c r="B3092" s="1" t="n">
        <v>44176</v>
      </c>
      <c r="C3092" s="1" t="n">
        <v>45210</v>
      </c>
      <c r="D3092" t="inlineStr">
        <is>
          <t>DALARNAS LÄN</t>
        </is>
      </c>
      <c r="E3092" t="inlineStr">
        <is>
          <t>FALUN</t>
        </is>
      </c>
      <c r="F3092" t="inlineStr">
        <is>
          <t>Bergvik skog väst AB</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66567-2020</t>
        </is>
      </c>
      <c r="B3093" s="1" t="n">
        <v>44179</v>
      </c>
      <c r="C3093" s="1" t="n">
        <v>45210</v>
      </c>
      <c r="D3093" t="inlineStr">
        <is>
          <t>DALARNAS LÄN</t>
        </is>
      </c>
      <c r="E3093" t="inlineStr">
        <is>
          <t>ORSA</t>
        </is>
      </c>
      <c r="G3093" t="n">
        <v>7.8</v>
      </c>
      <c r="H3093" t="n">
        <v>0</v>
      </c>
      <c r="I3093" t="n">
        <v>0</v>
      </c>
      <c r="J3093" t="n">
        <v>0</v>
      </c>
      <c r="K3093" t="n">
        <v>0</v>
      </c>
      <c r="L3093" t="n">
        <v>0</v>
      </c>
      <c r="M3093" t="n">
        <v>0</v>
      </c>
      <c r="N3093" t="n">
        <v>0</v>
      </c>
      <c r="O3093" t="n">
        <v>0</v>
      </c>
      <c r="P3093" t="n">
        <v>0</v>
      </c>
      <c r="Q3093" t="n">
        <v>0</v>
      </c>
      <c r="R3093" s="2" t="inlineStr"/>
    </row>
    <row r="3094" ht="15" customHeight="1">
      <c r="A3094" t="inlineStr">
        <is>
          <t>A 66593-2020</t>
        </is>
      </c>
      <c r="B3094" s="1" t="n">
        <v>44179</v>
      </c>
      <c r="C3094" s="1" t="n">
        <v>45210</v>
      </c>
      <c r="D3094" t="inlineStr">
        <is>
          <t>DALARNAS LÄN</t>
        </is>
      </c>
      <c r="E3094" t="inlineStr">
        <is>
          <t>ORSA</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66730-2020</t>
        </is>
      </c>
      <c r="B3095" s="1" t="n">
        <v>44179</v>
      </c>
      <c r="C3095" s="1" t="n">
        <v>45210</v>
      </c>
      <c r="D3095" t="inlineStr">
        <is>
          <t>DALARNAS LÄN</t>
        </is>
      </c>
      <c r="E3095" t="inlineStr">
        <is>
          <t>SMEDJEBACKEN</t>
        </is>
      </c>
      <c r="F3095" t="inlineStr">
        <is>
          <t>Sveaskog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66816-2020</t>
        </is>
      </c>
      <c r="B3096" s="1" t="n">
        <v>44179</v>
      </c>
      <c r="C3096" s="1" t="n">
        <v>45210</v>
      </c>
      <c r="D3096" t="inlineStr">
        <is>
          <t>DALARNAS LÄN</t>
        </is>
      </c>
      <c r="E3096" t="inlineStr">
        <is>
          <t>RÄTTVIK</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66536-2020</t>
        </is>
      </c>
      <c r="B3097" s="1" t="n">
        <v>44179</v>
      </c>
      <c r="C3097" s="1" t="n">
        <v>45210</v>
      </c>
      <c r="D3097" t="inlineStr">
        <is>
          <t>DALARNAS LÄN</t>
        </is>
      </c>
      <c r="E3097" t="inlineStr">
        <is>
          <t>ORSA</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66818-2020</t>
        </is>
      </c>
      <c r="B3098" s="1" t="n">
        <v>44179</v>
      </c>
      <c r="C3098" s="1" t="n">
        <v>45210</v>
      </c>
      <c r="D3098" t="inlineStr">
        <is>
          <t>DALARNAS LÄN</t>
        </is>
      </c>
      <c r="E3098" t="inlineStr">
        <is>
          <t>RÄTTVIK</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67100-2020</t>
        </is>
      </c>
      <c r="B3099" s="1" t="n">
        <v>44179</v>
      </c>
      <c r="C3099" s="1" t="n">
        <v>45210</v>
      </c>
      <c r="D3099" t="inlineStr">
        <is>
          <t>DALARNAS LÄN</t>
        </is>
      </c>
      <c r="E3099" t="inlineStr">
        <is>
          <t>LEKSAND</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66533-2020</t>
        </is>
      </c>
      <c r="B3100" s="1" t="n">
        <v>44179</v>
      </c>
      <c r="C3100" s="1" t="n">
        <v>45210</v>
      </c>
      <c r="D3100" t="inlineStr">
        <is>
          <t>DALARNAS LÄN</t>
        </is>
      </c>
      <c r="E3100" t="inlineStr">
        <is>
          <t>ORSA</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66589-2020</t>
        </is>
      </c>
      <c r="B3101" s="1" t="n">
        <v>44179</v>
      </c>
      <c r="C3101" s="1" t="n">
        <v>45210</v>
      </c>
      <c r="D3101" t="inlineStr">
        <is>
          <t>DALARNAS LÄN</t>
        </is>
      </c>
      <c r="E3101" t="inlineStr">
        <is>
          <t>ÄLVDALEN</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67071-2020</t>
        </is>
      </c>
      <c r="B3102" s="1" t="n">
        <v>44179</v>
      </c>
      <c r="C3102" s="1" t="n">
        <v>45210</v>
      </c>
      <c r="D3102" t="inlineStr">
        <is>
          <t>DALARNAS LÄN</t>
        </is>
      </c>
      <c r="E3102" t="inlineStr">
        <is>
          <t>FALUN</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66990-2020</t>
        </is>
      </c>
      <c r="B3103" s="1" t="n">
        <v>44180</v>
      </c>
      <c r="C3103" s="1" t="n">
        <v>45210</v>
      </c>
      <c r="D3103" t="inlineStr">
        <is>
          <t>DALARNAS LÄN</t>
        </is>
      </c>
      <c r="E3103" t="inlineStr">
        <is>
          <t>MORA</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67189-2020</t>
        </is>
      </c>
      <c r="B3104" s="1" t="n">
        <v>44180</v>
      </c>
      <c r="C3104" s="1" t="n">
        <v>45210</v>
      </c>
      <c r="D3104" t="inlineStr">
        <is>
          <t>DALARNAS LÄN</t>
        </is>
      </c>
      <c r="E3104" t="inlineStr">
        <is>
          <t>ORSA</t>
        </is>
      </c>
      <c r="F3104" t="inlineStr">
        <is>
          <t>Allmännings- och besparingsskogar</t>
        </is>
      </c>
      <c r="G3104" t="n">
        <v>5</v>
      </c>
      <c r="H3104" t="n">
        <v>0</v>
      </c>
      <c r="I3104" t="n">
        <v>0</v>
      </c>
      <c r="J3104" t="n">
        <v>0</v>
      </c>
      <c r="K3104" t="n">
        <v>0</v>
      </c>
      <c r="L3104" t="n">
        <v>0</v>
      </c>
      <c r="M3104" t="n">
        <v>0</v>
      </c>
      <c r="N3104" t="n">
        <v>0</v>
      </c>
      <c r="O3104" t="n">
        <v>0</v>
      </c>
      <c r="P3104" t="n">
        <v>0</v>
      </c>
      <c r="Q3104" t="n">
        <v>0</v>
      </c>
      <c r="R3104" s="2" t="inlineStr"/>
    </row>
    <row r="3105" ht="15" customHeight="1">
      <c r="A3105" t="inlineStr">
        <is>
          <t>A 67062-2020</t>
        </is>
      </c>
      <c r="B3105" s="1" t="n">
        <v>44180</v>
      </c>
      <c r="C3105" s="1" t="n">
        <v>45210</v>
      </c>
      <c r="D3105" t="inlineStr">
        <is>
          <t>DALARNAS LÄN</t>
        </is>
      </c>
      <c r="E3105" t="inlineStr">
        <is>
          <t>HEDEMORA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67028-2020</t>
        </is>
      </c>
      <c r="B3106" s="1" t="n">
        <v>44180</v>
      </c>
      <c r="C3106" s="1" t="n">
        <v>45210</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67081-2020</t>
        </is>
      </c>
      <c r="B3107" s="1" t="n">
        <v>44180</v>
      </c>
      <c r="C3107" s="1" t="n">
        <v>45210</v>
      </c>
      <c r="D3107" t="inlineStr">
        <is>
          <t>DALARNAS LÄN</t>
        </is>
      </c>
      <c r="E3107" t="inlineStr">
        <is>
          <t>RÄTTVIK</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67307-2020</t>
        </is>
      </c>
      <c r="B3108" s="1" t="n">
        <v>44181</v>
      </c>
      <c r="C3108" s="1" t="n">
        <v>45210</v>
      </c>
      <c r="D3108" t="inlineStr">
        <is>
          <t>DALARNAS LÄN</t>
        </is>
      </c>
      <c r="E3108" t="inlineStr">
        <is>
          <t>LEKSAND</t>
        </is>
      </c>
      <c r="G3108" t="n">
        <v>5.9</v>
      </c>
      <c r="H3108" t="n">
        <v>0</v>
      </c>
      <c r="I3108" t="n">
        <v>0</v>
      </c>
      <c r="J3108" t="n">
        <v>0</v>
      </c>
      <c r="K3108" t="n">
        <v>0</v>
      </c>
      <c r="L3108" t="n">
        <v>0</v>
      </c>
      <c r="M3108" t="n">
        <v>0</v>
      </c>
      <c r="N3108" t="n">
        <v>0</v>
      </c>
      <c r="O3108" t="n">
        <v>0</v>
      </c>
      <c r="P3108" t="n">
        <v>0</v>
      </c>
      <c r="Q3108" t="n">
        <v>0</v>
      </c>
      <c r="R3108" s="2" t="inlineStr"/>
    </row>
    <row r="3109" ht="15" customHeight="1">
      <c r="A3109" t="inlineStr">
        <is>
          <t>A 67834-2020</t>
        </is>
      </c>
      <c r="B3109" s="1" t="n">
        <v>44182</v>
      </c>
      <c r="C3109" s="1" t="n">
        <v>45210</v>
      </c>
      <c r="D3109" t="inlineStr">
        <is>
          <t>DALARNAS LÄN</t>
        </is>
      </c>
      <c r="E3109" t="inlineStr">
        <is>
          <t>ORSA</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67911-2020</t>
        </is>
      </c>
      <c r="B3110" s="1" t="n">
        <v>44182</v>
      </c>
      <c r="C3110" s="1" t="n">
        <v>45210</v>
      </c>
      <c r="D3110" t="inlineStr">
        <is>
          <t>DALARNAS LÄN</t>
        </is>
      </c>
      <c r="E3110" t="inlineStr">
        <is>
          <t>ORSA</t>
        </is>
      </c>
      <c r="F3110" t="inlineStr">
        <is>
          <t>Bergvik skog öst AB</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67929-2020</t>
        </is>
      </c>
      <c r="B3111" s="1" t="n">
        <v>44182</v>
      </c>
      <c r="C3111" s="1" t="n">
        <v>45210</v>
      </c>
      <c r="D3111" t="inlineStr">
        <is>
          <t>DALARNAS LÄN</t>
        </is>
      </c>
      <c r="E3111" t="inlineStr">
        <is>
          <t>ORSA</t>
        </is>
      </c>
      <c r="G3111" t="n">
        <v>8.800000000000001</v>
      </c>
      <c r="H3111" t="n">
        <v>0</v>
      </c>
      <c r="I3111" t="n">
        <v>0</v>
      </c>
      <c r="J3111" t="n">
        <v>0</v>
      </c>
      <c r="K3111" t="n">
        <v>0</v>
      </c>
      <c r="L3111" t="n">
        <v>0</v>
      </c>
      <c r="M3111" t="n">
        <v>0</v>
      </c>
      <c r="N3111" t="n">
        <v>0</v>
      </c>
      <c r="O3111" t="n">
        <v>0</v>
      </c>
      <c r="P3111" t="n">
        <v>0</v>
      </c>
      <c r="Q3111" t="n">
        <v>0</v>
      </c>
      <c r="R3111" s="2" t="inlineStr"/>
    </row>
    <row r="3112" ht="15" customHeight="1">
      <c r="A3112" t="inlineStr">
        <is>
          <t>A 67755-2020</t>
        </is>
      </c>
      <c r="B3112" s="1" t="n">
        <v>44182</v>
      </c>
      <c r="C3112" s="1" t="n">
        <v>45210</v>
      </c>
      <c r="D3112" t="inlineStr">
        <is>
          <t>DALARNAS LÄN</t>
        </is>
      </c>
      <c r="E3112" t="inlineStr">
        <is>
          <t>ORSA</t>
        </is>
      </c>
      <c r="G3112" t="n">
        <v>7.5</v>
      </c>
      <c r="H3112" t="n">
        <v>0</v>
      </c>
      <c r="I3112" t="n">
        <v>0</v>
      </c>
      <c r="J3112" t="n">
        <v>0</v>
      </c>
      <c r="K3112" t="n">
        <v>0</v>
      </c>
      <c r="L3112" t="n">
        <v>0</v>
      </c>
      <c r="M3112" t="n">
        <v>0</v>
      </c>
      <c r="N3112" t="n">
        <v>0</v>
      </c>
      <c r="O3112" t="n">
        <v>0</v>
      </c>
      <c r="P3112" t="n">
        <v>0</v>
      </c>
      <c r="Q3112" t="n">
        <v>0</v>
      </c>
      <c r="R3112" s="2" t="inlineStr"/>
    </row>
    <row r="3113" ht="15" customHeight="1">
      <c r="A3113" t="inlineStr">
        <is>
          <t>A 67774-2020</t>
        </is>
      </c>
      <c r="B3113" s="1" t="n">
        <v>44182</v>
      </c>
      <c r="C3113" s="1" t="n">
        <v>45210</v>
      </c>
      <c r="D3113" t="inlineStr">
        <is>
          <t>DALARNAS LÄN</t>
        </is>
      </c>
      <c r="E3113" t="inlineStr">
        <is>
          <t>MALUNG-SÄLEN</t>
        </is>
      </c>
      <c r="F3113" t="inlineStr">
        <is>
          <t>Bergvik skog öst AB</t>
        </is>
      </c>
      <c r="G3113" t="n">
        <v>4.9</v>
      </c>
      <c r="H3113" t="n">
        <v>0</v>
      </c>
      <c r="I3113" t="n">
        <v>0</v>
      </c>
      <c r="J3113" t="n">
        <v>0</v>
      </c>
      <c r="K3113" t="n">
        <v>0</v>
      </c>
      <c r="L3113" t="n">
        <v>0</v>
      </c>
      <c r="M3113" t="n">
        <v>0</v>
      </c>
      <c r="N3113" t="n">
        <v>0</v>
      </c>
      <c r="O3113" t="n">
        <v>0</v>
      </c>
      <c r="P3113" t="n">
        <v>0</v>
      </c>
      <c r="Q3113" t="n">
        <v>0</v>
      </c>
      <c r="R3113" s="2" t="inlineStr"/>
    </row>
    <row r="3114" ht="15" customHeight="1">
      <c r="A3114" t="inlineStr">
        <is>
          <t>A 67842-2020</t>
        </is>
      </c>
      <c r="B3114" s="1" t="n">
        <v>44182</v>
      </c>
      <c r="C3114" s="1" t="n">
        <v>45210</v>
      </c>
      <c r="D3114" t="inlineStr">
        <is>
          <t>DALARNAS LÄN</t>
        </is>
      </c>
      <c r="E3114" t="inlineStr">
        <is>
          <t>ORSA</t>
        </is>
      </c>
      <c r="G3114" t="n">
        <v>10.6</v>
      </c>
      <c r="H3114" t="n">
        <v>0</v>
      </c>
      <c r="I3114" t="n">
        <v>0</v>
      </c>
      <c r="J3114" t="n">
        <v>0</v>
      </c>
      <c r="K3114" t="n">
        <v>0</v>
      </c>
      <c r="L3114" t="n">
        <v>0</v>
      </c>
      <c r="M3114" t="n">
        <v>0</v>
      </c>
      <c r="N3114" t="n">
        <v>0</v>
      </c>
      <c r="O3114" t="n">
        <v>0</v>
      </c>
      <c r="P3114" t="n">
        <v>0</v>
      </c>
      <c r="Q3114" t="n">
        <v>0</v>
      </c>
      <c r="R3114" s="2" t="inlineStr"/>
    </row>
    <row r="3115" ht="15" customHeight="1">
      <c r="A3115" t="inlineStr">
        <is>
          <t>A 67935-2020</t>
        </is>
      </c>
      <c r="B3115" s="1" t="n">
        <v>44182</v>
      </c>
      <c r="C3115" s="1" t="n">
        <v>45210</v>
      </c>
      <c r="D3115" t="inlineStr">
        <is>
          <t>DALARNAS LÄN</t>
        </is>
      </c>
      <c r="E3115" t="inlineStr">
        <is>
          <t>ORSA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67950-2020</t>
        </is>
      </c>
      <c r="B3116" s="1" t="n">
        <v>44182</v>
      </c>
      <c r="C3116" s="1" t="n">
        <v>45210</v>
      </c>
      <c r="D3116" t="inlineStr">
        <is>
          <t>DALARNAS LÄN</t>
        </is>
      </c>
      <c r="E3116" t="inlineStr">
        <is>
          <t>ORSA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67971-2020</t>
        </is>
      </c>
      <c r="B3117" s="1" t="n">
        <v>44182</v>
      </c>
      <c r="C3117" s="1" t="n">
        <v>45210</v>
      </c>
      <c r="D3117" t="inlineStr">
        <is>
          <t>DALARNAS LÄN</t>
        </is>
      </c>
      <c r="E3117" t="inlineStr">
        <is>
          <t>ORSA</t>
        </is>
      </c>
      <c r="F3117" t="inlineStr">
        <is>
          <t>Bergvik skog öst AB</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68150-2020</t>
        </is>
      </c>
      <c r="B3118" s="1" t="n">
        <v>44183</v>
      </c>
      <c r="C3118" s="1" t="n">
        <v>45210</v>
      </c>
      <c r="D3118" t="inlineStr">
        <is>
          <t>DALARNAS LÄN</t>
        </is>
      </c>
      <c r="E3118" t="inlineStr">
        <is>
          <t>MALUNG-SÄLEN</t>
        </is>
      </c>
      <c r="G3118" t="n">
        <v>4.1</v>
      </c>
      <c r="H3118" t="n">
        <v>0</v>
      </c>
      <c r="I3118" t="n">
        <v>0</v>
      </c>
      <c r="J3118" t="n">
        <v>0</v>
      </c>
      <c r="K3118" t="n">
        <v>0</v>
      </c>
      <c r="L3118" t="n">
        <v>0</v>
      </c>
      <c r="M3118" t="n">
        <v>0</v>
      </c>
      <c r="N3118" t="n">
        <v>0</v>
      </c>
      <c r="O3118" t="n">
        <v>0</v>
      </c>
      <c r="P3118" t="n">
        <v>0</v>
      </c>
      <c r="Q3118" t="n">
        <v>0</v>
      </c>
      <c r="R3118" s="2" t="inlineStr"/>
    </row>
    <row r="3119" ht="15" customHeight="1">
      <c r="A3119" t="inlineStr">
        <is>
          <t>A 68248-2020</t>
        </is>
      </c>
      <c r="B3119" s="1" t="n">
        <v>44183</v>
      </c>
      <c r="C3119" s="1" t="n">
        <v>45210</v>
      </c>
      <c r="D3119" t="inlineStr">
        <is>
          <t>DALARNAS LÄN</t>
        </is>
      </c>
      <c r="E3119" t="inlineStr">
        <is>
          <t>FALUN</t>
        </is>
      </c>
      <c r="F3119" t="inlineStr">
        <is>
          <t>Bergvik skog väst AB</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68058-2020</t>
        </is>
      </c>
      <c r="B3120" s="1" t="n">
        <v>44183</v>
      </c>
      <c r="C3120" s="1" t="n">
        <v>45210</v>
      </c>
      <c r="D3120" t="inlineStr">
        <is>
          <t>DALARNAS LÄN</t>
        </is>
      </c>
      <c r="E3120" t="inlineStr">
        <is>
          <t>LEKSAND</t>
        </is>
      </c>
      <c r="F3120" t="inlineStr">
        <is>
          <t>Bergvik skog väst AB</t>
        </is>
      </c>
      <c r="G3120" t="n">
        <v>4.9</v>
      </c>
      <c r="H3120" t="n">
        <v>0</v>
      </c>
      <c r="I3120" t="n">
        <v>0</v>
      </c>
      <c r="J3120" t="n">
        <v>0</v>
      </c>
      <c r="K3120" t="n">
        <v>0</v>
      </c>
      <c r="L3120" t="n">
        <v>0</v>
      </c>
      <c r="M3120" t="n">
        <v>0</v>
      </c>
      <c r="N3120" t="n">
        <v>0</v>
      </c>
      <c r="O3120" t="n">
        <v>0</v>
      </c>
      <c r="P3120" t="n">
        <v>0</v>
      </c>
      <c r="Q3120" t="n">
        <v>0</v>
      </c>
      <c r="R3120" s="2" t="inlineStr"/>
    </row>
    <row r="3121" ht="15" customHeight="1">
      <c r="A3121" t="inlineStr">
        <is>
          <t>A 68199-2020</t>
        </is>
      </c>
      <c r="B3121" s="1" t="n">
        <v>44183</v>
      </c>
      <c r="C3121" s="1" t="n">
        <v>45210</v>
      </c>
      <c r="D3121" t="inlineStr">
        <is>
          <t>DALARNAS LÄN</t>
        </is>
      </c>
      <c r="E3121" t="inlineStr">
        <is>
          <t>FALUN</t>
        </is>
      </c>
      <c r="F3121" t="inlineStr">
        <is>
          <t>Bergvik skog väst AB</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68219-2020</t>
        </is>
      </c>
      <c r="B3122" s="1" t="n">
        <v>44183</v>
      </c>
      <c r="C3122" s="1" t="n">
        <v>45210</v>
      </c>
      <c r="D3122" t="inlineStr">
        <is>
          <t>DALARNAS LÄN</t>
        </is>
      </c>
      <c r="E3122" t="inlineStr">
        <is>
          <t>GAGNEF</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68074-2020</t>
        </is>
      </c>
      <c r="B3123" s="1" t="n">
        <v>44183</v>
      </c>
      <c r="C3123" s="1" t="n">
        <v>45210</v>
      </c>
      <c r="D3123" t="inlineStr">
        <is>
          <t>DALARNAS LÄN</t>
        </is>
      </c>
      <c r="E3123" t="inlineStr">
        <is>
          <t>FALUN</t>
        </is>
      </c>
      <c r="F3123" t="inlineStr">
        <is>
          <t>Bergvik skog väst AB</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68325-2020</t>
        </is>
      </c>
      <c r="B3124" s="1" t="n">
        <v>44185</v>
      </c>
      <c r="C3124" s="1" t="n">
        <v>45210</v>
      </c>
      <c r="D3124" t="inlineStr">
        <is>
          <t>DALARNAS LÄN</t>
        </is>
      </c>
      <c r="E3124" t="inlineStr">
        <is>
          <t>MALUNG-SÄLEN</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68323-2020</t>
        </is>
      </c>
      <c r="B3125" s="1" t="n">
        <v>44185</v>
      </c>
      <c r="C3125" s="1" t="n">
        <v>45210</v>
      </c>
      <c r="D3125" t="inlineStr">
        <is>
          <t>DALARNAS LÄN</t>
        </is>
      </c>
      <c r="E3125" t="inlineStr">
        <is>
          <t>MALUNG-SÄLEN</t>
        </is>
      </c>
      <c r="G3125" t="n">
        <v>2.6</v>
      </c>
      <c r="H3125" t="n">
        <v>0</v>
      </c>
      <c r="I3125" t="n">
        <v>0</v>
      </c>
      <c r="J3125" t="n">
        <v>0</v>
      </c>
      <c r="K3125" t="n">
        <v>0</v>
      </c>
      <c r="L3125" t="n">
        <v>0</v>
      </c>
      <c r="M3125" t="n">
        <v>0</v>
      </c>
      <c r="N3125" t="n">
        <v>0</v>
      </c>
      <c r="O3125" t="n">
        <v>0</v>
      </c>
      <c r="P3125" t="n">
        <v>0</v>
      </c>
      <c r="Q3125" t="n">
        <v>0</v>
      </c>
      <c r="R3125" s="2" t="inlineStr"/>
    </row>
    <row r="3126" ht="15" customHeight="1">
      <c r="A3126" t="inlineStr">
        <is>
          <t>A 68327-2020</t>
        </is>
      </c>
      <c r="B3126" s="1" t="n">
        <v>44185</v>
      </c>
      <c r="C3126" s="1" t="n">
        <v>45210</v>
      </c>
      <c r="D3126" t="inlineStr">
        <is>
          <t>DALARNAS LÄN</t>
        </is>
      </c>
      <c r="E3126" t="inlineStr">
        <is>
          <t>RÄTTVIK</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68326-2020</t>
        </is>
      </c>
      <c r="B3127" s="1" t="n">
        <v>44185</v>
      </c>
      <c r="C3127" s="1" t="n">
        <v>45210</v>
      </c>
      <c r="D3127" t="inlineStr">
        <is>
          <t>DALARNAS LÄN</t>
        </is>
      </c>
      <c r="E3127" t="inlineStr">
        <is>
          <t>MALUNG-SÄLEN</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68324-2020</t>
        </is>
      </c>
      <c r="B3128" s="1" t="n">
        <v>44185</v>
      </c>
      <c r="C3128" s="1" t="n">
        <v>45210</v>
      </c>
      <c r="D3128" t="inlineStr">
        <is>
          <t>DALARNAS LÄN</t>
        </is>
      </c>
      <c r="E3128" t="inlineStr">
        <is>
          <t>MALUNG-SÄLEN</t>
        </is>
      </c>
      <c r="G3128" t="n">
        <v>3.2</v>
      </c>
      <c r="H3128" t="n">
        <v>0</v>
      </c>
      <c r="I3128" t="n">
        <v>0</v>
      </c>
      <c r="J3128" t="n">
        <v>0</v>
      </c>
      <c r="K3128" t="n">
        <v>0</v>
      </c>
      <c r="L3128" t="n">
        <v>0</v>
      </c>
      <c r="M3128" t="n">
        <v>0</v>
      </c>
      <c r="N3128" t="n">
        <v>0</v>
      </c>
      <c r="O3128" t="n">
        <v>0</v>
      </c>
      <c r="P3128" t="n">
        <v>0</v>
      </c>
      <c r="Q3128" t="n">
        <v>0</v>
      </c>
      <c r="R3128" s="2" t="inlineStr"/>
    </row>
    <row r="3129" ht="15" customHeight="1">
      <c r="A3129" t="inlineStr">
        <is>
          <t>A 68551-2020</t>
        </is>
      </c>
      <c r="B3129" s="1" t="n">
        <v>44186</v>
      </c>
      <c r="C3129" s="1" t="n">
        <v>45210</v>
      </c>
      <c r="D3129" t="inlineStr">
        <is>
          <t>DALARNAS LÄN</t>
        </is>
      </c>
      <c r="E3129" t="inlineStr">
        <is>
          <t>VANSBRO</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68468-2020</t>
        </is>
      </c>
      <c r="B3130" s="1" t="n">
        <v>44186</v>
      </c>
      <c r="C3130" s="1" t="n">
        <v>45210</v>
      </c>
      <c r="D3130" t="inlineStr">
        <is>
          <t>DALARNAS LÄN</t>
        </is>
      </c>
      <c r="E3130" t="inlineStr">
        <is>
          <t>MORA</t>
        </is>
      </c>
      <c r="F3130" t="inlineStr">
        <is>
          <t>Bergvik skog öst AB</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68357-2020</t>
        </is>
      </c>
      <c r="B3131" s="1" t="n">
        <v>44186</v>
      </c>
      <c r="C3131" s="1" t="n">
        <v>45210</v>
      </c>
      <c r="D3131" t="inlineStr">
        <is>
          <t>DALARNAS LÄN</t>
        </is>
      </c>
      <c r="E3131" t="inlineStr">
        <is>
          <t>RÄTTVIK</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68609-2020</t>
        </is>
      </c>
      <c r="B3132" s="1" t="n">
        <v>44186</v>
      </c>
      <c r="C3132" s="1" t="n">
        <v>45210</v>
      </c>
      <c r="D3132" t="inlineStr">
        <is>
          <t>DALARNAS LÄN</t>
        </is>
      </c>
      <c r="E3132" t="inlineStr">
        <is>
          <t>GAGNEF</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68849-2020</t>
        </is>
      </c>
      <c r="B3133" s="1" t="n">
        <v>44187</v>
      </c>
      <c r="C3133" s="1" t="n">
        <v>45210</v>
      </c>
      <c r="D3133" t="inlineStr">
        <is>
          <t>DALARNAS LÄN</t>
        </is>
      </c>
      <c r="E3133" t="inlineStr">
        <is>
          <t>VANSBRO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68784-2020</t>
        </is>
      </c>
      <c r="B3134" s="1" t="n">
        <v>44187</v>
      </c>
      <c r="C3134" s="1" t="n">
        <v>45210</v>
      </c>
      <c r="D3134" t="inlineStr">
        <is>
          <t>DALARNAS LÄN</t>
        </is>
      </c>
      <c r="E3134" t="inlineStr">
        <is>
          <t>SMEDJEBACKEN</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68832-2020</t>
        </is>
      </c>
      <c r="B3135" s="1" t="n">
        <v>44187</v>
      </c>
      <c r="C3135" s="1" t="n">
        <v>45210</v>
      </c>
      <c r="D3135" t="inlineStr">
        <is>
          <t>DALARNAS LÄN</t>
        </is>
      </c>
      <c r="E3135" t="inlineStr">
        <is>
          <t>MORA</t>
        </is>
      </c>
      <c r="G3135" t="n">
        <v>7.7</v>
      </c>
      <c r="H3135" t="n">
        <v>0</v>
      </c>
      <c r="I3135" t="n">
        <v>0</v>
      </c>
      <c r="J3135" t="n">
        <v>0</v>
      </c>
      <c r="K3135" t="n">
        <v>0</v>
      </c>
      <c r="L3135" t="n">
        <v>0</v>
      </c>
      <c r="M3135" t="n">
        <v>0</v>
      </c>
      <c r="N3135" t="n">
        <v>0</v>
      </c>
      <c r="O3135" t="n">
        <v>0</v>
      </c>
      <c r="P3135" t="n">
        <v>0</v>
      </c>
      <c r="Q3135" t="n">
        <v>0</v>
      </c>
      <c r="R3135" s="2" t="inlineStr"/>
    </row>
    <row r="3136" ht="15" customHeight="1">
      <c r="A3136" t="inlineStr">
        <is>
          <t>A 69154-2020</t>
        </is>
      </c>
      <c r="B3136" s="1" t="n">
        <v>44188</v>
      </c>
      <c r="C3136" s="1" t="n">
        <v>45210</v>
      </c>
      <c r="D3136" t="inlineStr">
        <is>
          <t>DALARNAS LÄN</t>
        </is>
      </c>
      <c r="E3136" t="inlineStr">
        <is>
          <t>LUDVIKA</t>
        </is>
      </c>
      <c r="F3136" t="inlineStr">
        <is>
          <t>Kommuner</t>
        </is>
      </c>
      <c r="G3136" t="n">
        <v>13.3</v>
      </c>
      <c r="H3136" t="n">
        <v>0</v>
      </c>
      <c r="I3136" t="n">
        <v>0</v>
      </c>
      <c r="J3136" t="n">
        <v>0</v>
      </c>
      <c r="K3136" t="n">
        <v>0</v>
      </c>
      <c r="L3136" t="n">
        <v>0</v>
      </c>
      <c r="M3136" t="n">
        <v>0</v>
      </c>
      <c r="N3136" t="n">
        <v>0</v>
      </c>
      <c r="O3136" t="n">
        <v>0</v>
      </c>
      <c r="P3136" t="n">
        <v>0</v>
      </c>
      <c r="Q3136" t="n">
        <v>0</v>
      </c>
      <c r="R3136" s="2" t="inlineStr"/>
    </row>
    <row r="3137" ht="15" customHeight="1">
      <c r="A3137" t="inlineStr">
        <is>
          <t>A 69090-2020</t>
        </is>
      </c>
      <c r="B3137" s="1" t="n">
        <v>44188</v>
      </c>
      <c r="C3137" s="1" t="n">
        <v>45210</v>
      </c>
      <c r="D3137" t="inlineStr">
        <is>
          <t>DALARNAS LÄN</t>
        </is>
      </c>
      <c r="E3137" t="inlineStr">
        <is>
          <t>LUDVIKA</t>
        </is>
      </c>
      <c r="F3137" t="inlineStr">
        <is>
          <t>Bergvik skog väst AB</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69165-2020</t>
        </is>
      </c>
      <c r="B3138" s="1" t="n">
        <v>44188</v>
      </c>
      <c r="C3138" s="1" t="n">
        <v>45210</v>
      </c>
      <c r="D3138" t="inlineStr">
        <is>
          <t>DALARNAS LÄN</t>
        </is>
      </c>
      <c r="E3138" t="inlineStr">
        <is>
          <t>LUDVIKA</t>
        </is>
      </c>
      <c r="F3138" t="inlineStr">
        <is>
          <t>Kommuner</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69094-2020</t>
        </is>
      </c>
      <c r="B3139" s="1" t="n">
        <v>44188</v>
      </c>
      <c r="C3139" s="1" t="n">
        <v>45210</v>
      </c>
      <c r="D3139" t="inlineStr">
        <is>
          <t>DALARNAS LÄN</t>
        </is>
      </c>
      <c r="E3139" t="inlineStr">
        <is>
          <t>LUDVIKA</t>
        </is>
      </c>
      <c r="F3139" t="inlineStr">
        <is>
          <t>Bergvik skog väst AB</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69157-2020</t>
        </is>
      </c>
      <c r="B3140" s="1" t="n">
        <v>44188</v>
      </c>
      <c r="C3140" s="1" t="n">
        <v>45210</v>
      </c>
      <c r="D3140" t="inlineStr">
        <is>
          <t>DALARNAS LÄN</t>
        </is>
      </c>
      <c r="E3140" t="inlineStr">
        <is>
          <t>LUDVIKA</t>
        </is>
      </c>
      <c r="F3140" t="inlineStr">
        <is>
          <t>Kommuner</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69240-2020</t>
        </is>
      </c>
      <c r="B3141" s="1" t="n">
        <v>44192</v>
      </c>
      <c r="C3141" s="1" t="n">
        <v>45210</v>
      </c>
      <c r="D3141" t="inlineStr">
        <is>
          <t>DALARNAS LÄN</t>
        </is>
      </c>
      <c r="E3141" t="inlineStr">
        <is>
          <t>GAGNEF</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69519-2020</t>
        </is>
      </c>
      <c r="B3142" s="1" t="n">
        <v>44194</v>
      </c>
      <c r="C3142" s="1" t="n">
        <v>45210</v>
      </c>
      <c r="D3142" t="inlineStr">
        <is>
          <t>DALARNAS LÄN</t>
        </is>
      </c>
      <c r="E3142" t="inlineStr">
        <is>
          <t>MORA</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69526-2020</t>
        </is>
      </c>
      <c r="B3143" s="1" t="n">
        <v>44194</v>
      </c>
      <c r="C3143" s="1" t="n">
        <v>45210</v>
      </c>
      <c r="D3143" t="inlineStr">
        <is>
          <t>DALARNAS LÄN</t>
        </is>
      </c>
      <c r="E3143" t="inlineStr">
        <is>
          <t>RÄTTVIK</t>
        </is>
      </c>
      <c r="G3143" t="n">
        <v>19.8</v>
      </c>
      <c r="H3143" t="n">
        <v>0</v>
      </c>
      <c r="I3143" t="n">
        <v>0</v>
      </c>
      <c r="J3143" t="n">
        <v>0</v>
      </c>
      <c r="K3143" t="n">
        <v>0</v>
      </c>
      <c r="L3143" t="n">
        <v>0</v>
      </c>
      <c r="M3143" t="n">
        <v>0</v>
      </c>
      <c r="N3143" t="n">
        <v>0</v>
      </c>
      <c r="O3143" t="n">
        <v>0</v>
      </c>
      <c r="P3143" t="n">
        <v>0</v>
      </c>
      <c r="Q3143" t="n">
        <v>0</v>
      </c>
      <c r="R3143" s="2" t="inlineStr"/>
    </row>
    <row r="3144" ht="15" customHeight="1">
      <c r="A3144" t="inlineStr">
        <is>
          <t>A 69517-2020</t>
        </is>
      </c>
      <c r="B3144" s="1" t="n">
        <v>44194</v>
      </c>
      <c r="C3144" s="1" t="n">
        <v>45210</v>
      </c>
      <c r="D3144" t="inlineStr">
        <is>
          <t>DALARNAS LÄN</t>
        </is>
      </c>
      <c r="E3144" t="inlineStr">
        <is>
          <t>MORA</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69555-2020</t>
        </is>
      </c>
      <c r="B3145" s="1" t="n">
        <v>44194</v>
      </c>
      <c r="C3145" s="1" t="n">
        <v>45210</v>
      </c>
      <c r="D3145" t="inlineStr">
        <is>
          <t>DALARNAS LÄN</t>
        </is>
      </c>
      <c r="E3145" t="inlineStr">
        <is>
          <t>MALUNG-SÄLEN</t>
        </is>
      </c>
      <c r="F3145" t="inlineStr">
        <is>
          <t>Bergvik skog öst AB</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69606-2020</t>
        </is>
      </c>
      <c r="B3146" s="1" t="n">
        <v>44195</v>
      </c>
      <c r="C3146" s="1" t="n">
        <v>45210</v>
      </c>
      <c r="D3146" t="inlineStr">
        <is>
          <t>DALARNAS LÄN</t>
        </is>
      </c>
      <c r="E3146" t="inlineStr">
        <is>
          <t>RÄTTVIK</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33-2021</t>
        </is>
      </c>
      <c r="B3147" s="1" t="n">
        <v>44198</v>
      </c>
      <c r="C3147" s="1" t="n">
        <v>45210</v>
      </c>
      <c r="D3147" t="inlineStr">
        <is>
          <t>DALARNAS LÄN</t>
        </is>
      </c>
      <c r="E3147" t="inlineStr">
        <is>
          <t>ÄLVDALEN</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112-2021</t>
        </is>
      </c>
      <c r="B3148" s="1" t="n">
        <v>44200</v>
      </c>
      <c r="C3148" s="1" t="n">
        <v>45210</v>
      </c>
      <c r="D3148" t="inlineStr">
        <is>
          <t>DALARNAS LÄN</t>
        </is>
      </c>
      <c r="E3148" t="inlineStr">
        <is>
          <t>ORSA</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203-2021</t>
        </is>
      </c>
      <c r="B3149" s="1" t="n">
        <v>44200</v>
      </c>
      <c r="C3149" s="1" t="n">
        <v>45210</v>
      </c>
      <c r="D3149" t="inlineStr">
        <is>
          <t>DALARNAS LÄN</t>
        </is>
      </c>
      <c r="E3149" t="inlineStr">
        <is>
          <t>ÄLVDALEN</t>
        </is>
      </c>
      <c r="F3149" t="inlineStr">
        <is>
          <t>Övriga statliga verk och myndigheter</t>
        </is>
      </c>
      <c r="G3149" t="n">
        <v>19.1</v>
      </c>
      <c r="H3149" t="n">
        <v>0</v>
      </c>
      <c r="I3149" t="n">
        <v>0</v>
      </c>
      <c r="J3149" t="n">
        <v>0</v>
      </c>
      <c r="K3149" t="n">
        <v>0</v>
      </c>
      <c r="L3149" t="n">
        <v>0</v>
      </c>
      <c r="M3149" t="n">
        <v>0</v>
      </c>
      <c r="N3149" t="n">
        <v>0</v>
      </c>
      <c r="O3149" t="n">
        <v>0</v>
      </c>
      <c r="P3149" t="n">
        <v>0</v>
      </c>
      <c r="Q3149" t="n">
        <v>0</v>
      </c>
      <c r="R3149" s="2" t="inlineStr"/>
    </row>
    <row r="3150" ht="15" customHeight="1">
      <c r="A3150" t="inlineStr">
        <is>
          <t>A 216-2021</t>
        </is>
      </c>
      <c r="B3150" s="1" t="n">
        <v>44200</v>
      </c>
      <c r="C3150" s="1" t="n">
        <v>45210</v>
      </c>
      <c r="D3150" t="inlineStr">
        <is>
          <t>DALARNAS LÄN</t>
        </is>
      </c>
      <c r="E3150" t="inlineStr">
        <is>
          <t>VANSBRO</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221-2021</t>
        </is>
      </c>
      <c r="B3151" s="1" t="n">
        <v>44200</v>
      </c>
      <c r="C3151" s="1" t="n">
        <v>45210</v>
      </c>
      <c r="D3151" t="inlineStr">
        <is>
          <t>DALARNAS LÄN</t>
        </is>
      </c>
      <c r="E3151" t="inlineStr">
        <is>
          <t>FALUN</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185-2021</t>
        </is>
      </c>
      <c r="B3152" s="1" t="n">
        <v>44200</v>
      </c>
      <c r="C3152" s="1" t="n">
        <v>45210</v>
      </c>
      <c r="D3152" t="inlineStr">
        <is>
          <t>DALARNAS LÄN</t>
        </is>
      </c>
      <c r="E3152" t="inlineStr">
        <is>
          <t>MALUNG-SÄLEN</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257-2021</t>
        </is>
      </c>
      <c r="B3153" s="1" t="n">
        <v>44200</v>
      </c>
      <c r="C3153" s="1" t="n">
        <v>45210</v>
      </c>
      <c r="D3153" t="inlineStr">
        <is>
          <t>DALARNAS LÄN</t>
        </is>
      </c>
      <c r="E3153" t="inlineStr">
        <is>
          <t>ÄLVDALEN</t>
        </is>
      </c>
      <c r="F3153" t="inlineStr">
        <is>
          <t>Övriga statliga verk och myndigheter</t>
        </is>
      </c>
      <c r="G3153" t="n">
        <v>6.1</v>
      </c>
      <c r="H3153" t="n">
        <v>0</v>
      </c>
      <c r="I3153" t="n">
        <v>0</v>
      </c>
      <c r="J3153" t="n">
        <v>0</v>
      </c>
      <c r="K3153" t="n">
        <v>0</v>
      </c>
      <c r="L3153" t="n">
        <v>0</v>
      </c>
      <c r="M3153" t="n">
        <v>0</v>
      </c>
      <c r="N3153" t="n">
        <v>0</v>
      </c>
      <c r="O3153" t="n">
        <v>0</v>
      </c>
      <c r="P3153" t="n">
        <v>0</v>
      </c>
      <c r="Q3153" t="n">
        <v>0</v>
      </c>
      <c r="R3153" s="2" t="inlineStr"/>
    </row>
    <row r="3154" ht="15" customHeight="1">
      <c r="A3154" t="inlineStr">
        <is>
          <t>A 283-2021</t>
        </is>
      </c>
      <c r="B3154" s="1" t="n">
        <v>44201</v>
      </c>
      <c r="C3154" s="1" t="n">
        <v>45210</v>
      </c>
      <c r="D3154" t="inlineStr">
        <is>
          <t>DALARNAS LÄN</t>
        </is>
      </c>
      <c r="E3154" t="inlineStr">
        <is>
          <t>MALUNG-SÄLEN</t>
        </is>
      </c>
      <c r="G3154" t="n">
        <v>4.8</v>
      </c>
      <c r="H3154" t="n">
        <v>0</v>
      </c>
      <c r="I3154" t="n">
        <v>0</v>
      </c>
      <c r="J3154" t="n">
        <v>0</v>
      </c>
      <c r="K3154" t="n">
        <v>0</v>
      </c>
      <c r="L3154" t="n">
        <v>0</v>
      </c>
      <c r="M3154" t="n">
        <v>0</v>
      </c>
      <c r="N3154" t="n">
        <v>0</v>
      </c>
      <c r="O3154" t="n">
        <v>0</v>
      </c>
      <c r="P3154" t="n">
        <v>0</v>
      </c>
      <c r="Q3154" t="n">
        <v>0</v>
      </c>
      <c r="R3154" s="2" t="inlineStr"/>
    </row>
    <row r="3155" ht="15" customHeight="1">
      <c r="A3155" t="inlineStr">
        <is>
          <t>A 374-2021</t>
        </is>
      </c>
      <c r="B3155" s="1" t="n">
        <v>44201</v>
      </c>
      <c r="C3155" s="1" t="n">
        <v>45210</v>
      </c>
      <c r="D3155" t="inlineStr">
        <is>
          <t>DALARNAS LÄN</t>
        </is>
      </c>
      <c r="E3155" t="inlineStr">
        <is>
          <t>ÄLVDALEN</t>
        </is>
      </c>
      <c r="F3155" t="inlineStr">
        <is>
          <t>Övriga statliga verk och myndigheter</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433-2021</t>
        </is>
      </c>
      <c r="B3156" s="1" t="n">
        <v>44201</v>
      </c>
      <c r="C3156" s="1" t="n">
        <v>45210</v>
      </c>
      <c r="D3156" t="inlineStr">
        <is>
          <t>DALARNAS LÄN</t>
        </is>
      </c>
      <c r="E3156" t="inlineStr">
        <is>
          <t>ÄLVDALEN</t>
        </is>
      </c>
      <c r="F3156" t="inlineStr">
        <is>
          <t>Övriga statliga verk och myndigheter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333-2021</t>
        </is>
      </c>
      <c r="B3157" s="1" t="n">
        <v>44201</v>
      </c>
      <c r="C3157" s="1" t="n">
        <v>45210</v>
      </c>
      <c r="D3157" t="inlineStr">
        <is>
          <t>DALARNAS LÄN</t>
        </is>
      </c>
      <c r="E3157" t="inlineStr">
        <is>
          <t>ÄLVDALEN</t>
        </is>
      </c>
      <c r="F3157" t="inlineStr">
        <is>
          <t>Övriga statliga verk och myndigheter</t>
        </is>
      </c>
      <c r="G3157" t="n">
        <v>5.4</v>
      </c>
      <c r="H3157" t="n">
        <v>0</v>
      </c>
      <c r="I3157" t="n">
        <v>0</v>
      </c>
      <c r="J3157" t="n">
        <v>0</v>
      </c>
      <c r="K3157" t="n">
        <v>0</v>
      </c>
      <c r="L3157" t="n">
        <v>0</v>
      </c>
      <c r="M3157" t="n">
        <v>0</v>
      </c>
      <c r="N3157" t="n">
        <v>0</v>
      </c>
      <c r="O3157" t="n">
        <v>0</v>
      </c>
      <c r="P3157" t="n">
        <v>0</v>
      </c>
      <c r="Q3157" t="n">
        <v>0</v>
      </c>
      <c r="R3157" s="2" t="inlineStr"/>
    </row>
    <row r="3158" ht="15" customHeight="1">
      <c r="A3158" t="inlineStr">
        <is>
          <t>A 435-2021</t>
        </is>
      </c>
      <c r="B3158" s="1" t="n">
        <v>44201</v>
      </c>
      <c r="C3158" s="1" t="n">
        <v>45210</v>
      </c>
      <c r="D3158" t="inlineStr">
        <is>
          <t>DALARNAS LÄN</t>
        </is>
      </c>
      <c r="E3158" t="inlineStr">
        <is>
          <t>ÄLVDALEN</t>
        </is>
      </c>
      <c r="F3158" t="inlineStr">
        <is>
          <t>Övriga statliga verk och myndigheter</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434-2021</t>
        </is>
      </c>
      <c r="B3159" s="1" t="n">
        <v>44201</v>
      </c>
      <c r="C3159" s="1" t="n">
        <v>45210</v>
      </c>
      <c r="D3159" t="inlineStr">
        <is>
          <t>DALARNAS LÄN</t>
        </is>
      </c>
      <c r="E3159" t="inlineStr">
        <is>
          <t>ÄLVDALEN</t>
        </is>
      </c>
      <c r="F3159" t="inlineStr">
        <is>
          <t>Övriga statliga verk och myndigheter</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371-2021</t>
        </is>
      </c>
      <c r="B3160" s="1" t="n">
        <v>44201</v>
      </c>
      <c r="C3160" s="1" t="n">
        <v>45210</v>
      </c>
      <c r="D3160" t="inlineStr">
        <is>
          <t>DALARNAS LÄN</t>
        </is>
      </c>
      <c r="E3160" t="inlineStr">
        <is>
          <t>ÄLVDALEN</t>
        </is>
      </c>
      <c r="F3160" t="inlineStr">
        <is>
          <t>Övriga statliga verk och myndigheter</t>
        </is>
      </c>
      <c r="G3160" t="n">
        <v>10</v>
      </c>
      <c r="H3160" t="n">
        <v>0</v>
      </c>
      <c r="I3160" t="n">
        <v>0</v>
      </c>
      <c r="J3160" t="n">
        <v>0</v>
      </c>
      <c r="K3160" t="n">
        <v>0</v>
      </c>
      <c r="L3160" t="n">
        <v>0</v>
      </c>
      <c r="M3160" t="n">
        <v>0</v>
      </c>
      <c r="N3160" t="n">
        <v>0</v>
      </c>
      <c r="O3160" t="n">
        <v>0</v>
      </c>
      <c r="P3160" t="n">
        <v>0</v>
      </c>
      <c r="Q3160" t="n">
        <v>0</v>
      </c>
      <c r="R3160" s="2" t="inlineStr"/>
    </row>
    <row r="3161" ht="15" customHeight="1">
      <c r="A3161" t="inlineStr">
        <is>
          <t>A 458-2021</t>
        </is>
      </c>
      <c r="B3161" s="1" t="n">
        <v>44202</v>
      </c>
      <c r="C3161" s="1" t="n">
        <v>45210</v>
      </c>
      <c r="D3161" t="inlineStr">
        <is>
          <t>DALARNAS LÄN</t>
        </is>
      </c>
      <c r="E3161" t="inlineStr">
        <is>
          <t>SMEDJEBACKEN</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528-2021</t>
        </is>
      </c>
      <c r="B3162" s="1" t="n">
        <v>44203</v>
      </c>
      <c r="C3162" s="1" t="n">
        <v>45210</v>
      </c>
      <c r="D3162" t="inlineStr">
        <is>
          <t>DALARNAS LÄN</t>
        </is>
      </c>
      <c r="E3162" t="inlineStr">
        <is>
          <t>FALUN</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560-2021</t>
        </is>
      </c>
      <c r="B3163" s="1" t="n">
        <v>44203</v>
      </c>
      <c r="C3163" s="1" t="n">
        <v>45210</v>
      </c>
      <c r="D3163" t="inlineStr">
        <is>
          <t>DALARNAS LÄN</t>
        </is>
      </c>
      <c r="E3163" t="inlineStr">
        <is>
          <t>MALUNG-SÄLEN</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770-2021</t>
        </is>
      </c>
      <c r="B3164" s="1" t="n">
        <v>44203</v>
      </c>
      <c r="C3164" s="1" t="n">
        <v>45210</v>
      </c>
      <c r="D3164" t="inlineStr">
        <is>
          <t>DALARNAS LÄN</t>
        </is>
      </c>
      <c r="E3164" t="inlineStr">
        <is>
          <t>MORA</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782-2021</t>
        </is>
      </c>
      <c r="B3165" s="1" t="n">
        <v>44203</v>
      </c>
      <c r="C3165" s="1" t="n">
        <v>45210</v>
      </c>
      <c r="D3165" t="inlineStr">
        <is>
          <t>DALARNAS LÄN</t>
        </is>
      </c>
      <c r="E3165" t="inlineStr">
        <is>
          <t>MORA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653-2021</t>
        </is>
      </c>
      <c r="B3166" s="1" t="n">
        <v>44203</v>
      </c>
      <c r="C3166" s="1" t="n">
        <v>45210</v>
      </c>
      <c r="D3166" t="inlineStr">
        <is>
          <t>DALARNAS LÄN</t>
        </is>
      </c>
      <c r="E3166" t="inlineStr">
        <is>
          <t>HEDEMORA</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655-2021</t>
        </is>
      </c>
      <c r="B3167" s="1" t="n">
        <v>44203</v>
      </c>
      <c r="C3167" s="1" t="n">
        <v>45210</v>
      </c>
      <c r="D3167" t="inlineStr">
        <is>
          <t>DALARNAS LÄN</t>
        </is>
      </c>
      <c r="E3167" t="inlineStr">
        <is>
          <t>MORA</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768-2021</t>
        </is>
      </c>
      <c r="B3168" s="1" t="n">
        <v>44203</v>
      </c>
      <c r="C3168" s="1" t="n">
        <v>45210</v>
      </c>
      <c r="D3168" t="inlineStr">
        <is>
          <t>DALARNAS LÄN</t>
        </is>
      </c>
      <c r="E3168" t="inlineStr">
        <is>
          <t>MORA</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776-2021</t>
        </is>
      </c>
      <c r="B3169" s="1" t="n">
        <v>44203</v>
      </c>
      <c r="C3169" s="1" t="n">
        <v>45210</v>
      </c>
      <c r="D3169" t="inlineStr">
        <is>
          <t>DALARNAS LÄN</t>
        </is>
      </c>
      <c r="E3169" t="inlineStr">
        <is>
          <t>LEKSAND</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787-2021</t>
        </is>
      </c>
      <c r="B3170" s="1" t="n">
        <v>44203</v>
      </c>
      <c r="C3170" s="1" t="n">
        <v>45210</v>
      </c>
      <c r="D3170" t="inlineStr">
        <is>
          <t>DALARNAS LÄN</t>
        </is>
      </c>
      <c r="E3170" t="inlineStr">
        <is>
          <t>MORA</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599-2021</t>
        </is>
      </c>
      <c r="B3171" s="1" t="n">
        <v>44203</v>
      </c>
      <c r="C3171" s="1" t="n">
        <v>45210</v>
      </c>
      <c r="D3171" t="inlineStr">
        <is>
          <t>DALARNAS LÄN</t>
        </is>
      </c>
      <c r="E3171" t="inlineStr">
        <is>
          <t>BORLÄNGE</t>
        </is>
      </c>
      <c r="F3171" t="inlineStr">
        <is>
          <t>Kommuner</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657-2021</t>
        </is>
      </c>
      <c r="B3172" s="1" t="n">
        <v>44203</v>
      </c>
      <c r="C3172" s="1" t="n">
        <v>45210</v>
      </c>
      <c r="D3172" t="inlineStr">
        <is>
          <t>DALARNAS LÄN</t>
        </is>
      </c>
      <c r="E3172" t="inlineStr">
        <is>
          <t>MORA</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769-2021</t>
        </is>
      </c>
      <c r="B3173" s="1" t="n">
        <v>44203</v>
      </c>
      <c r="C3173" s="1" t="n">
        <v>45210</v>
      </c>
      <c r="D3173" t="inlineStr">
        <is>
          <t>DALARNAS LÄN</t>
        </is>
      </c>
      <c r="E3173" t="inlineStr">
        <is>
          <t>MORA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790-2021</t>
        </is>
      </c>
      <c r="B3174" s="1" t="n">
        <v>44203</v>
      </c>
      <c r="C3174" s="1" t="n">
        <v>45210</v>
      </c>
      <c r="D3174" t="inlineStr">
        <is>
          <t>DALARNAS LÄN</t>
        </is>
      </c>
      <c r="E3174" t="inlineStr">
        <is>
          <t>MORA</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837-2021</t>
        </is>
      </c>
      <c r="B3175" s="1" t="n">
        <v>44204</v>
      </c>
      <c r="C3175" s="1" t="n">
        <v>45210</v>
      </c>
      <c r="D3175" t="inlineStr">
        <is>
          <t>DALARNAS LÄN</t>
        </is>
      </c>
      <c r="E3175" t="inlineStr">
        <is>
          <t>MORA</t>
        </is>
      </c>
      <c r="G3175" t="n">
        <v>10.4</v>
      </c>
      <c r="H3175" t="n">
        <v>0</v>
      </c>
      <c r="I3175" t="n">
        <v>0</v>
      </c>
      <c r="J3175" t="n">
        <v>0</v>
      </c>
      <c r="K3175" t="n">
        <v>0</v>
      </c>
      <c r="L3175" t="n">
        <v>0</v>
      </c>
      <c r="M3175" t="n">
        <v>0</v>
      </c>
      <c r="N3175" t="n">
        <v>0</v>
      </c>
      <c r="O3175" t="n">
        <v>0</v>
      </c>
      <c r="P3175" t="n">
        <v>0</v>
      </c>
      <c r="Q3175" t="n">
        <v>0</v>
      </c>
      <c r="R3175" s="2" t="inlineStr"/>
    </row>
    <row r="3176" ht="15" customHeight="1">
      <c r="A3176" t="inlineStr">
        <is>
          <t>A 1078-2021</t>
        </is>
      </c>
      <c r="B3176" s="1" t="n">
        <v>44207</v>
      </c>
      <c r="C3176" s="1" t="n">
        <v>45210</v>
      </c>
      <c r="D3176" t="inlineStr">
        <is>
          <t>DALARNAS LÄN</t>
        </is>
      </c>
      <c r="E3176" t="inlineStr">
        <is>
          <t>LEKSAND</t>
        </is>
      </c>
      <c r="G3176" t="n">
        <v>4.9</v>
      </c>
      <c r="H3176" t="n">
        <v>0</v>
      </c>
      <c r="I3176" t="n">
        <v>0</v>
      </c>
      <c r="J3176" t="n">
        <v>0</v>
      </c>
      <c r="K3176" t="n">
        <v>0</v>
      </c>
      <c r="L3176" t="n">
        <v>0</v>
      </c>
      <c r="M3176" t="n">
        <v>0</v>
      </c>
      <c r="N3176" t="n">
        <v>0</v>
      </c>
      <c r="O3176" t="n">
        <v>0</v>
      </c>
      <c r="P3176" t="n">
        <v>0</v>
      </c>
      <c r="Q3176" t="n">
        <v>0</v>
      </c>
      <c r="R3176" s="2" t="inlineStr"/>
    </row>
    <row r="3177" ht="15" customHeight="1">
      <c r="A3177" t="inlineStr">
        <is>
          <t>A 1286-2021</t>
        </is>
      </c>
      <c r="B3177" s="1" t="n">
        <v>44208</v>
      </c>
      <c r="C3177" s="1" t="n">
        <v>45210</v>
      </c>
      <c r="D3177" t="inlineStr">
        <is>
          <t>DALARNAS LÄN</t>
        </is>
      </c>
      <c r="E3177" t="inlineStr">
        <is>
          <t>MALUNG-SÄLEN</t>
        </is>
      </c>
      <c r="G3177" t="n">
        <v>7.7</v>
      </c>
      <c r="H3177" t="n">
        <v>0</v>
      </c>
      <c r="I3177" t="n">
        <v>0</v>
      </c>
      <c r="J3177" t="n">
        <v>0</v>
      </c>
      <c r="K3177" t="n">
        <v>0</v>
      </c>
      <c r="L3177" t="n">
        <v>0</v>
      </c>
      <c r="M3177" t="n">
        <v>0</v>
      </c>
      <c r="N3177" t="n">
        <v>0</v>
      </c>
      <c r="O3177" t="n">
        <v>0</v>
      </c>
      <c r="P3177" t="n">
        <v>0</v>
      </c>
      <c r="Q3177" t="n">
        <v>0</v>
      </c>
      <c r="R3177" s="2" t="inlineStr"/>
    </row>
    <row r="3178" ht="15" customHeight="1">
      <c r="A3178" t="inlineStr">
        <is>
          <t>A 1342-2021</t>
        </is>
      </c>
      <c r="B3178" s="1" t="n">
        <v>44208</v>
      </c>
      <c r="C3178" s="1" t="n">
        <v>45210</v>
      </c>
      <c r="D3178" t="inlineStr">
        <is>
          <t>DALARNAS LÄN</t>
        </is>
      </c>
      <c r="E3178" t="inlineStr">
        <is>
          <t>VANSBRO</t>
        </is>
      </c>
      <c r="F3178" t="inlineStr">
        <is>
          <t>Bergvik skog öst AB</t>
        </is>
      </c>
      <c r="G3178" t="n">
        <v>0.3</v>
      </c>
      <c r="H3178" t="n">
        <v>0</v>
      </c>
      <c r="I3178" t="n">
        <v>0</v>
      </c>
      <c r="J3178" t="n">
        <v>0</v>
      </c>
      <c r="K3178" t="n">
        <v>0</v>
      </c>
      <c r="L3178" t="n">
        <v>0</v>
      </c>
      <c r="M3178" t="n">
        <v>0</v>
      </c>
      <c r="N3178" t="n">
        <v>0</v>
      </c>
      <c r="O3178" t="n">
        <v>0</v>
      </c>
      <c r="P3178" t="n">
        <v>0</v>
      </c>
      <c r="Q3178" t="n">
        <v>0</v>
      </c>
      <c r="R3178" s="2" t="inlineStr"/>
    </row>
    <row r="3179" ht="15" customHeight="1">
      <c r="A3179" t="inlineStr">
        <is>
          <t>A 1381-2021</t>
        </is>
      </c>
      <c r="B3179" s="1" t="n">
        <v>44208</v>
      </c>
      <c r="C3179" s="1" t="n">
        <v>45210</v>
      </c>
      <c r="D3179" t="inlineStr">
        <is>
          <t>DALARNAS LÄN</t>
        </is>
      </c>
      <c r="E3179" t="inlineStr">
        <is>
          <t>VANSBRO</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1386-2021</t>
        </is>
      </c>
      <c r="B3180" s="1" t="n">
        <v>44208</v>
      </c>
      <c r="C3180" s="1" t="n">
        <v>45210</v>
      </c>
      <c r="D3180" t="inlineStr">
        <is>
          <t>DALARNAS LÄN</t>
        </is>
      </c>
      <c r="E3180" t="inlineStr">
        <is>
          <t>VANSBRO</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1633-2021</t>
        </is>
      </c>
      <c r="B3181" s="1" t="n">
        <v>44209</v>
      </c>
      <c r="C3181" s="1" t="n">
        <v>45210</v>
      </c>
      <c r="D3181" t="inlineStr">
        <is>
          <t>DALARNAS LÄN</t>
        </is>
      </c>
      <c r="E3181" t="inlineStr">
        <is>
          <t>LUDVIKA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1837-2021</t>
        </is>
      </c>
      <c r="B3182" s="1" t="n">
        <v>44210</v>
      </c>
      <c r="C3182" s="1" t="n">
        <v>45210</v>
      </c>
      <c r="D3182" t="inlineStr">
        <is>
          <t>DALARNAS LÄN</t>
        </is>
      </c>
      <c r="E3182" t="inlineStr">
        <is>
          <t>MALUNG-SÄLEN</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2219-2021</t>
        </is>
      </c>
      <c r="B3183" s="1" t="n">
        <v>44210</v>
      </c>
      <c r="C3183" s="1" t="n">
        <v>45210</v>
      </c>
      <c r="D3183" t="inlineStr">
        <is>
          <t>DALARNAS LÄN</t>
        </is>
      </c>
      <c r="E3183" t="inlineStr">
        <is>
          <t>ÄLVDALEN</t>
        </is>
      </c>
      <c r="F3183" t="inlineStr">
        <is>
          <t>Övriga statliga verk och myndigheter</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1872-2021</t>
        </is>
      </c>
      <c r="B3184" s="1" t="n">
        <v>44210</v>
      </c>
      <c r="C3184" s="1" t="n">
        <v>45210</v>
      </c>
      <c r="D3184" t="inlineStr">
        <is>
          <t>DALARNAS LÄN</t>
        </is>
      </c>
      <c r="E3184" t="inlineStr">
        <is>
          <t>ÄLVDALEN</t>
        </is>
      </c>
      <c r="F3184" t="inlineStr">
        <is>
          <t>Övriga statliga verk och myndigheter</t>
        </is>
      </c>
      <c r="G3184" t="n">
        <v>19.6</v>
      </c>
      <c r="H3184" t="n">
        <v>0</v>
      </c>
      <c r="I3184" t="n">
        <v>0</v>
      </c>
      <c r="J3184" t="n">
        <v>0</v>
      </c>
      <c r="K3184" t="n">
        <v>0</v>
      </c>
      <c r="L3184" t="n">
        <v>0</v>
      </c>
      <c r="M3184" t="n">
        <v>0</v>
      </c>
      <c r="N3184" t="n">
        <v>0</v>
      </c>
      <c r="O3184" t="n">
        <v>0</v>
      </c>
      <c r="P3184" t="n">
        <v>0</v>
      </c>
      <c r="Q3184" t="n">
        <v>0</v>
      </c>
      <c r="R3184" s="2" t="inlineStr"/>
    </row>
    <row r="3185" ht="15" customHeight="1">
      <c r="A3185" t="inlineStr">
        <is>
          <t>A 1864-2021</t>
        </is>
      </c>
      <c r="B3185" s="1" t="n">
        <v>44210</v>
      </c>
      <c r="C3185" s="1" t="n">
        <v>45210</v>
      </c>
      <c r="D3185" t="inlineStr">
        <is>
          <t>DALARNAS LÄN</t>
        </is>
      </c>
      <c r="E3185" t="inlineStr">
        <is>
          <t>AVESTA</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1871-2021</t>
        </is>
      </c>
      <c r="B3186" s="1" t="n">
        <v>44210</v>
      </c>
      <c r="C3186" s="1" t="n">
        <v>45210</v>
      </c>
      <c r="D3186" t="inlineStr">
        <is>
          <t>DALARNAS LÄN</t>
        </is>
      </c>
      <c r="E3186" t="inlineStr">
        <is>
          <t>ÄLVDALEN</t>
        </is>
      </c>
      <c r="F3186" t="inlineStr">
        <is>
          <t>Övriga statliga verk och myndigheter</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1916-2021</t>
        </is>
      </c>
      <c r="B3187" s="1" t="n">
        <v>44210</v>
      </c>
      <c r="C3187" s="1" t="n">
        <v>45210</v>
      </c>
      <c r="D3187" t="inlineStr">
        <is>
          <t>DALARNAS LÄN</t>
        </is>
      </c>
      <c r="E3187" t="inlineStr">
        <is>
          <t>HEDEMORA</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1951-2021</t>
        </is>
      </c>
      <c r="B3188" s="1" t="n">
        <v>44210</v>
      </c>
      <c r="C3188" s="1" t="n">
        <v>45210</v>
      </c>
      <c r="D3188" t="inlineStr">
        <is>
          <t>DALARNAS LÄN</t>
        </is>
      </c>
      <c r="E3188" t="inlineStr">
        <is>
          <t>MORA</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1918-2021</t>
        </is>
      </c>
      <c r="B3189" s="1" t="n">
        <v>44210</v>
      </c>
      <c r="C3189" s="1" t="n">
        <v>45210</v>
      </c>
      <c r="D3189" t="inlineStr">
        <is>
          <t>DALARNAS LÄN</t>
        </is>
      </c>
      <c r="E3189" t="inlineStr">
        <is>
          <t>SÄTER</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1973-2021</t>
        </is>
      </c>
      <c r="B3190" s="1" t="n">
        <v>44210</v>
      </c>
      <c r="C3190" s="1" t="n">
        <v>45210</v>
      </c>
      <c r="D3190" t="inlineStr">
        <is>
          <t>DALARNAS LÄN</t>
        </is>
      </c>
      <c r="E3190" t="inlineStr">
        <is>
          <t>HEDEMORA</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2088-2021</t>
        </is>
      </c>
      <c r="B3191" s="1" t="n">
        <v>44211</v>
      </c>
      <c r="C3191" s="1" t="n">
        <v>45210</v>
      </c>
      <c r="D3191" t="inlineStr">
        <is>
          <t>DALARNAS LÄN</t>
        </is>
      </c>
      <c r="E3191" t="inlineStr">
        <is>
          <t>VANSBRO</t>
        </is>
      </c>
      <c r="G3191" t="n">
        <v>2.7</v>
      </c>
      <c r="H3191" t="n">
        <v>0</v>
      </c>
      <c r="I3191" t="n">
        <v>0</v>
      </c>
      <c r="J3191" t="n">
        <v>0</v>
      </c>
      <c r="K3191" t="n">
        <v>0</v>
      </c>
      <c r="L3191" t="n">
        <v>0</v>
      </c>
      <c r="M3191" t="n">
        <v>0</v>
      </c>
      <c r="N3191" t="n">
        <v>0</v>
      </c>
      <c r="O3191" t="n">
        <v>0</v>
      </c>
      <c r="P3191" t="n">
        <v>0</v>
      </c>
      <c r="Q3191" t="n">
        <v>0</v>
      </c>
      <c r="R3191" s="2" t="inlineStr"/>
    </row>
    <row r="3192" ht="15" customHeight="1">
      <c r="A3192" t="inlineStr">
        <is>
          <t>A 2112-2021</t>
        </is>
      </c>
      <c r="B3192" s="1" t="n">
        <v>44211</v>
      </c>
      <c r="C3192" s="1" t="n">
        <v>45210</v>
      </c>
      <c r="D3192" t="inlineStr">
        <is>
          <t>DALARNAS LÄN</t>
        </is>
      </c>
      <c r="E3192" t="inlineStr">
        <is>
          <t>ORSA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2208-2021</t>
        </is>
      </c>
      <c r="B3193" s="1" t="n">
        <v>44211</v>
      </c>
      <c r="C3193" s="1" t="n">
        <v>45210</v>
      </c>
      <c r="D3193" t="inlineStr">
        <is>
          <t>DALARNAS LÄN</t>
        </is>
      </c>
      <c r="E3193" t="inlineStr">
        <is>
          <t>MALUNG-SÄLEN</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2296-2021</t>
        </is>
      </c>
      <c r="B3194" s="1" t="n">
        <v>44212</v>
      </c>
      <c r="C3194" s="1" t="n">
        <v>45210</v>
      </c>
      <c r="D3194" t="inlineStr">
        <is>
          <t>DALARNAS LÄN</t>
        </is>
      </c>
      <c r="E3194" t="inlineStr">
        <is>
          <t>SMEDJEBACKEN</t>
        </is>
      </c>
      <c r="G3194" t="n">
        <v>11.6</v>
      </c>
      <c r="H3194" t="n">
        <v>0</v>
      </c>
      <c r="I3194" t="n">
        <v>0</v>
      </c>
      <c r="J3194" t="n">
        <v>0</v>
      </c>
      <c r="K3194" t="n">
        <v>0</v>
      </c>
      <c r="L3194" t="n">
        <v>0</v>
      </c>
      <c r="M3194" t="n">
        <v>0</v>
      </c>
      <c r="N3194" t="n">
        <v>0</v>
      </c>
      <c r="O3194" t="n">
        <v>0</v>
      </c>
      <c r="P3194" t="n">
        <v>0</v>
      </c>
      <c r="Q3194" t="n">
        <v>0</v>
      </c>
      <c r="R3194" s="2" t="inlineStr"/>
    </row>
    <row r="3195" ht="15" customHeight="1">
      <c r="A3195" t="inlineStr">
        <is>
          <t>A 2311-2021</t>
        </is>
      </c>
      <c r="B3195" s="1" t="n">
        <v>44213</v>
      </c>
      <c r="C3195" s="1" t="n">
        <v>45210</v>
      </c>
      <c r="D3195" t="inlineStr">
        <is>
          <t>DALARNAS LÄN</t>
        </is>
      </c>
      <c r="E3195" t="inlineStr">
        <is>
          <t>LEKSAND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2404-2021</t>
        </is>
      </c>
      <c r="B3196" s="1" t="n">
        <v>44214</v>
      </c>
      <c r="C3196" s="1" t="n">
        <v>45210</v>
      </c>
      <c r="D3196" t="inlineStr">
        <is>
          <t>DALARNAS LÄN</t>
        </is>
      </c>
      <c r="E3196" t="inlineStr">
        <is>
          <t>RÄTTVIK</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2466-2021</t>
        </is>
      </c>
      <c r="B3197" s="1" t="n">
        <v>44214</v>
      </c>
      <c r="C3197" s="1" t="n">
        <v>45210</v>
      </c>
      <c r="D3197" t="inlineStr">
        <is>
          <t>DALARNAS LÄN</t>
        </is>
      </c>
      <c r="E3197" t="inlineStr">
        <is>
          <t>AVESTA</t>
        </is>
      </c>
      <c r="G3197" t="n">
        <v>4.3</v>
      </c>
      <c r="H3197" t="n">
        <v>0</v>
      </c>
      <c r="I3197" t="n">
        <v>0</v>
      </c>
      <c r="J3197" t="n">
        <v>0</v>
      </c>
      <c r="K3197" t="n">
        <v>0</v>
      </c>
      <c r="L3197" t="n">
        <v>0</v>
      </c>
      <c r="M3197" t="n">
        <v>0</v>
      </c>
      <c r="N3197" t="n">
        <v>0</v>
      </c>
      <c r="O3197" t="n">
        <v>0</v>
      </c>
      <c r="P3197" t="n">
        <v>0</v>
      </c>
      <c r="Q3197" t="n">
        <v>0</v>
      </c>
      <c r="R3197" s="2" t="inlineStr"/>
    </row>
    <row r="3198" ht="15" customHeight="1">
      <c r="A3198" t="inlineStr">
        <is>
          <t>A 2690-2021</t>
        </is>
      </c>
      <c r="B3198" s="1" t="n">
        <v>44214</v>
      </c>
      <c r="C3198" s="1" t="n">
        <v>45210</v>
      </c>
      <c r="D3198" t="inlineStr">
        <is>
          <t>DALARNAS LÄN</t>
        </is>
      </c>
      <c r="E3198" t="inlineStr">
        <is>
          <t>ÄLVDALEN</t>
        </is>
      </c>
      <c r="F3198" t="inlineStr">
        <is>
          <t>Allmännings- och besparingsskogar</t>
        </is>
      </c>
      <c r="G3198" t="n">
        <v>70.3</v>
      </c>
      <c r="H3198" t="n">
        <v>0</v>
      </c>
      <c r="I3198" t="n">
        <v>0</v>
      </c>
      <c r="J3198" t="n">
        <v>0</v>
      </c>
      <c r="K3198" t="n">
        <v>0</v>
      </c>
      <c r="L3198" t="n">
        <v>0</v>
      </c>
      <c r="M3198" t="n">
        <v>0</v>
      </c>
      <c r="N3198" t="n">
        <v>0</v>
      </c>
      <c r="O3198" t="n">
        <v>0</v>
      </c>
      <c r="P3198" t="n">
        <v>0</v>
      </c>
      <c r="Q3198" t="n">
        <v>0</v>
      </c>
      <c r="R3198" s="2" t="inlineStr"/>
    </row>
    <row r="3199" ht="15" customHeight="1">
      <c r="A3199" t="inlineStr">
        <is>
          <t>A 2390-2021</t>
        </is>
      </c>
      <c r="B3199" s="1" t="n">
        <v>44214</v>
      </c>
      <c r="C3199" s="1" t="n">
        <v>45210</v>
      </c>
      <c r="D3199" t="inlineStr">
        <is>
          <t>DALARNAS LÄN</t>
        </is>
      </c>
      <c r="E3199" t="inlineStr">
        <is>
          <t>MALUNG-SÄLEN</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2419-2021</t>
        </is>
      </c>
      <c r="B3200" s="1" t="n">
        <v>44214</v>
      </c>
      <c r="C3200" s="1" t="n">
        <v>45210</v>
      </c>
      <c r="D3200" t="inlineStr">
        <is>
          <t>DALARNAS LÄN</t>
        </is>
      </c>
      <c r="E3200" t="inlineStr">
        <is>
          <t>RÄTTVIK</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2391-2021</t>
        </is>
      </c>
      <c r="B3201" s="1" t="n">
        <v>44214</v>
      </c>
      <c r="C3201" s="1" t="n">
        <v>45210</v>
      </c>
      <c r="D3201" t="inlineStr">
        <is>
          <t>DALARNAS LÄN</t>
        </is>
      </c>
      <c r="E3201" t="inlineStr">
        <is>
          <t>MALUNG-SÄLEN</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2746-2021</t>
        </is>
      </c>
      <c r="B3202" s="1" t="n">
        <v>44215</v>
      </c>
      <c r="C3202" s="1" t="n">
        <v>45210</v>
      </c>
      <c r="D3202" t="inlineStr">
        <is>
          <t>DALARNAS LÄN</t>
        </is>
      </c>
      <c r="E3202" t="inlineStr">
        <is>
          <t>ÄLVDALEN</t>
        </is>
      </c>
      <c r="F3202" t="inlineStr">
        <is>
          <t>Kommuner</t>
        </is>
      </c>
      <c r="G3202" t="n">
        <v>14.7</v>
      </c>
      <c r="H3202" t="n">
        <v>0</v>
      </c>
      <c r="I3202" t="n">
        <v>0</v>
      </c>
      <c r="J3202" t="n">
        <v>0</v>
      </c>
      <c r="K3202" t="n">
        <v>0</v>
      </c>
      <c r="L3202" t="n">
        <v>0</v>
      </c>
      <c r="M3202" t="n">
        <v>0</v>
      </c>
      <c r="N3202" t="n">
        <v>0</v>
      </c>
      <c r="O3202" t="n">
        <v>0</v>
      </c>
      <c r="P3202" t="n">
        <v>0</v>
      </c>
      <c r="Q3202" t="n">
        <v>0</v>
      </c>
      <c r="R3202" s="2" t="inlineStr"/>
    </row>
    <row r="3203" ht="15" customHeight="1">
      <c r="A3203" t="inlineStr">
        <is>
          <t>A 2606-2021</t>
        </is>
      </c>
      <c r="B3203" s="1" t="n">
        <v>44215</v>
      </c>
      <c r="C3203" s="1" t="n">
        <v>45210</v>
      </c>
      <c r="D3203" t="inlineStr">
        <is>
          <t>DALARNAS LÄN</t>
        </is>
      </c>
      <c r="E3203" t="inlineStr">
        <is>
          <t>SÄTER</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3188-2021</t>
        </is>
      </c>
      <c r="B3204" s="1" t="n">
        <v>44215</v>
      </c>
      <c r="C3204" s="1" t="n">
        <v>45210</v>
      </c>
      <c r="D3204" t="inlineStr">
        <is>
          <t>DALARNAS LÄN</t>
        </is>
      </c>
      <c r="E3204" t="inlineStr">
        <is>
          <t>GAGNEF</t>
        </is>
      </c>
      <c r="G3204" t="n">
        <v>10</v>
      </c>
      <c r="H3204" t="n">
        <v>0</v>
      </c>
      <c r="I3204" t="n">
        <v>0</v>
      </c>
      <c r="J3204" t="n">
        <v>0</v>
      </c>
      <c r="K3204" t="n">
        <v>0</v>
      </c>
      <c r="L3204" t="n">
        <v>0</v>
      </c>
      <c r="M3204" t="n">
        <v>0</v>
      </c>
      <c r="N3204" t="n">
        <v>0</v>
      </c>
      <c r="O3204" t="n">
        <v>0</v>
      </c>
      <c r="P3204" t="n">
        <v>0</v>
      </c>
      <c r="Q3204" t="n">
        <v>0</v>
      </c>
      <c r="R3204" s="2" t="inlineStr"/>
    </row>
    <row r="3205" ht="15" customHeight="1">
      <c r="A3205" t="inlineStr">
        <is>
          <t>A 3132-2021</t>
        </is>
      </c>
      <c r="B3205" s="1" t="n">
        <v>44217</v>
      </c>
      <c r="C3205" s="1" t="n">
        <v>45210</v>
      </c>
      <c r="D3205" t="inlineStr">
        <is>
          <t>DALARNAS LÄN</t>
        </is>
      </c>
      <c r="E3205" t="inlineStr">
        <is>
          <t>MALUNG-SÄLEN</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3257-2021</t>
        </is>
      </c>
      <c r="B3206" s="1" t="n">
        <v>44217</v>
      </c>
      <c r="C3206" s="1" t="n">
        <v>45210</v>
      </c>
      <c r="D3206" t="inlineStr">
        <is>
          <t>DALARNAS LÄN</t>
        </is>
      </c>
      <c r="E3206" t="inlineStr">
        <is>
          <t>VANSBRO</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3340-2021</t>
        </is>
      </c>
      <c r="B3207" s="1" t="n">
        <v>44217</v>
      </c>
      <c r="C3207" s="1" t="n">
        <v>45210</v>
      </c>
      <c r="D3207" t="inlineStr">
        <is>
          <t>DALARNAS LÄN</t>
        </is>
      </c>
      <c r="E3207" t="inlineStr">
        <is>
          <t>RÄTTVIK</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3124-2021</t>
        </is>
      </c>
      <c r="B3208" s="1" t="n">
        <v>44217</v>
      </c>
      <c r="C3208" s="1" t="n">
        <v>45210</v>
      </c>
      <c r="D3208" t="inlineStr">
        <is>
          <t>DALARNAS LÄN</t>
        </is>
      </c>
      <c r="E3208" t="inlineStr">
        <is>
          <t>RÄTTVIK</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3314-2021</t>
        </is>
      </c>
      <c r="B3209" s="1" t="n">
        <v>44217</v>
      </c>
      <c r="C3209" s="1" t="n">
        <v>45210</v>
      </c>
      <c r="D3209" t="inlineStr">
        <is>
          <t>DALARNAS LÄN</t>
        </is>
      </c>
      <c r="E3209" t="inlineStr">
        <is>
          <t>HEDEMORA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3519-2021</t>
        </is>
      </c>
      <c r="B3210" s="1" t="n">
        <v>44218</v>
      </c>
      <c r="C3210" s="1" t="n">
        <v>45210</v>
      </c>
      <c r="D3210" t="inlineStr">
        <is>
          <t>DALARNAS LÄN</t>
        </is>
      </c>
      <c r="E3210" t="inlineStr">
        <is>
          <t>FALUN</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3403-2021</t>
        </is>
      </c>
      <c r="B3211" s="1" t="n">
        <v>44218</v>
      </c>
      <c r="C3211" s="1" t="n">
        <v>45210</v>
      </c>
      <c r="D3211" t="inlineStr">
        <is>
          <t>DALARNAS LÄN</t>
        </is>
      </c>
      <c r="E3211" t="inlineStr">
        <is>
          <t>LUDVIKA</t>
        </is>
      </c>
      <c r="F3211" t="inlineStr">
        <is>
          <t>Bergvik skog väst AB</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3452-2021</t>
        </is>
      </c>
      <c r="B3212" s="1" t="n">
        <v>44218</v>
      </c>
      <c r="C3212" s="1" t="n">
        <v>45210</v>
      </c>
      <c r="D3212" t="inlineStr">
        <is>
          <t>DALARNAS LÄN</t>
        </is>
      </c>
      <c r="E3212" t="inlineStr">
        <is>
          <t>ORSA</t>
        </is>
      </c>
      <c r="G3212" t="n">
        <v>12.5</v>
      </c>
      <c r="H3212" t="n">
        <v>0</v>
      </c>
      <c r="I3212" t="n">
        <v>0</v>
      </c>
      <c r="J3212" t="n">
        <v>0</v>
      </c>
      <c r="K3212" t="n">
        <v>0</v>
      </c>
      <c r="L3212" t="n">
        <v>0</v>
      </c>
      <c r="M3212" t="n">
        <v>0</v>
      </c>
      <c r="N3212" t="n">
        <v>0</v>
      </c>
      <c r="O3212" t="n">
        <v>0</v>
      </c>
      <c r="P3212" t="n">
        <v>0</v>
      </c>
      <c r="Q3212" t="n">
        <v>0</v>
      </c>
      <c r="R3212" s="2" t="inlineStr"/>
    </row>
    <row r="3213" ht="15" customHeight="1">
      <c r="A3213" t="inlineStr">
        <is>
          <t>A 3421-2021</t>
        </is>
      </c>
      <c r="B3213" s="1" t="n">
        <v>44218</v>
      </c>
      <c r="C3213" s="1" t="n">
        <v>45210</v>
      </c>
      <c r="D3213" t="inlineStr">
        <is>
          <t>DALARNAS LÄN</t>
        </is>
      </c>
      <c r="E3213" t="inlineStr">
        <is>
          <t>ORSA</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3964-2021</t>
        </is>
      </c>
      <c r="B3214" s="1" t="n">
        <v>44222</v>
      </c>
      <c r="C3214" s="1" t="n">
        <v>45210</v>
      </c>
      <c r="D3214" t="inlineStr">
        <is>
          <t>DALARNAS LÄN</t>
        </is>
      </c>
      <c r="E3214" t="inlineStr">
        <is>
          <t>BORLÄNGE</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3941-2021</t>
        </is>
      </c>
      <c r="B3215" s="1" t="n">
        <v>44222</v>
      </c>
      <c r="C3215" s="1" t="n">
        <v>45210</v>
      </c>
      <c r="D3215" t="inlineStr">
        <is>
          <t>DALARNAS LÄN</t>
        </is>
      </c>
      <c r="E3215" t="inlineStr">
        <is>
          <t>MALUNG-SÄLEN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4030-2021</t>
        </is>
      </c>
      <c r="B3216" s="1" t="n">
        <v>44222</v>
      </c>
      <c r="C3216" s="1" t="n">
        <v>45210</v>
      </c>
      <c r="D3216" t="inlineStr">
        <is>
          <t>DALARNAS LÄN</t>
        </is>
      </c>
      <c r="E3216" t="inlineStr">
        <is>
          <t>MALUNG-SÄLEN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4108-2021</t>
        </is>
      </c>
      <c r="B3217" s="1" t="n">
        <v>44222</v>
      </c>
      <c r="C3217" s="1" t="n">
        <v>45210</v>
      </c>
      <c r="D3217" t="inlineStr">
        <is>
          <t>DALARNAS LÄN</t>
        </is>
      </c>
      <c r="E3217" t="inlineStr">
        <is>
          <t>ORSA</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4034-2021</t>
        </is>
      </c>
      <c r="B3218" s="1" t="n">
        <v>44222</v>
      </c>
      <c r="C3218" s="1" t="n">
        <v>45210</v>
      </c>
      <c r="D3218" t="inlineStr">
        <is>
          <t>DALARNAS LÄN</t>
        </is>
      </c>
      <c r="E3218" t="inlineStr">
        <is>
          <t>ÄLVDALEN</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4275-2021</t>
        </is>
      </c>
      <c r="B3219" s="1" t="n">
        <v>44223</v>
      </c>
      <c r="C3219" s="1" t="n">
        <v>45210</v>
      </c>
      <c r="D3219" t="inlineStr">
        <is>
          <t>DALARNAS LÄN</t>
        </is>
      </c>
      <c r="E3219" t="inlineStr">
        <is>
          <t>AVESTA</t>
        </is>
      </c>
      <c r="G3219" t="n">
        <v>2.9</v>
      </c>
      <c r="H3219" t="n">
        <v>0</v>
      </c>
      <c r="I3219" t="n">
        <v>0</v>
      </c>
      <c r="J3219" t="n">
        <v>0</v>
      </c>
      <c r="K3219" t="n">
        <v>0</v>
      </c>
      <c r="L3219" t="n">
        <v>0</v>
      </c>
      <c r="M3219" t="n">
        <v>0</v>
      </c>
      <c r="N3219" t="n">
        <v>0</v>
      </c>
      <c r="O3219" t="n">
        <v>0</v>
      </c>
      <c r="P3219" t="n">
        <v>0</v>
      </c>
      <c r="Q3219" t="n">
        <v>0</v>
      </c>
      <c r="R3219" s="2" t="inlineStr"/>
    </row>
    <row r="3220" ht="15" customHeight="1">
      <c r="A3220" t="inlineStr">
        <is>
          <t>A 4454-2021</t>
        </is>
      </c>
      <c r="B3220" s="1" t="n">
        <v>44224</v>
      </c>
      <c r="C3220" s="1" t="n">
        <v>45210</v>
      </c>
      <c r="D3220" t="inlineStr">
        <is>
          <t>DALARNAS LÄN</t>
        </is>
      </c>
      <c r="E3220" t="inlineStr">
        <is>
          <t>ORSA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4589-2021</t>
        </is>
      </c>
      <c r="B3221" s="1" t="n">
        <v>44224</v>
      </c>
      <c r="C3221" s="1" t="n">
        <v>45210</v>
      </c>
      <c r="D3221" t="inlineStr">
        <is>
          <t>DALARNAS LÄN</t>
        </is>
      </c>
      <c r="E3221" t="inlineStr">
        <is>
          <t>ÄLVDALEN</t>
        </is>
      </c>
      <c r="G3221" t="n">
        <v>4.9</v>
      </c>
      <c r="H3221" t="n">
        <v>0</v>
      </c>
      <c r="I3221" t="n">
        <v>0</v>
      </c>
      <c r="J3221" t="n">
        <v>0</v>
      </c>
      <c r="K3221" t="n">
        <v>0</v>
      </c>
      <c r="L3221" t="n">
        <v>0</v>
      </c>
      <c r="M3221" t="n">
        <v>0</v>
      </c>
      <c r="N3221" t="n">
        <v>0</v>
      </c>
      <c r="O3221" t="n">
        <v>0</v>
      </c>
      <c r="P3221" t="n">
        <v>0</v>
      </c>
      <c r="Q3221" t="n">
        <v>0</v>
      </c>
      <c r="R3221" s="2" t="inlineStr"/>
    </row>
    <row r="3222" ht="15" customHeight="1">
      <c r="A3222" t="inlineStr">
        <is>
          <t>A 4452-2021</t>
        </is>
      </c>
      <c r="B3222" s="1" t="n">
        <v>44224</v>
      </c>
      <c r="C3222" s="1" t="n">
        <v>45210</v>
      </c>
      <c r="D3222" t="inlineStr">
        <is>
          <t>DALARNAS LÄN</t>
        </is>
      </c>
      <c r="E3222" t="inlineStr">
        <is>
          <t>FALUN</t>
        </is>
      </c>
      <c r="G3222" t="n">
        <v>5</v>
      </c>
      <c r="H3222" t="n">
        <v>0</v>
      </c>
      <c r="I3222" t="n">
        <v>0</v>
      </c>
      <c r="J3222" t="n">
        <v>0</v>
      </c>
      <c r="K3222" t="n">
        <v>0</v>
      </c>
      <c r="L3222" t="n">
        <v>0</v>
      </c>
      <c r="M3222" t="n">
        <v>0</v>
      </c>
      <c r="N3222" t="n">
        <v>0</v>
      </c>
      <c r="O3222" t="n">
        <v>0</v>
      </c>
      <c r="P3222" t="n">
        <v>0</v>
      </c>
      <c r="Q3222" t="n">
        <v>0</v>
      </c>
      <c r="R3222" s="2" t="inlineStr"/>
    </row>
    <row r="3223" ht="15" customHeight="1">
      <c r="A3223" t="inlineStr">
        <is>
          <t>A 4569-2021</t>
        </is>
      </c>
      <c r="B3223" s="1" t="n">
        <v>44224</v>
      </c>
      <c r="C3223" s="1" t="n">
        <v>45210</v>
      </c>
      <c r="D3223" t="inlineStr">
        <is>
          <t>DALARNAS LÄN</t>
        </is>
      </c>
      <c r="E3223" t="inlineStr">
        <is>
          <t>LUDVIKA</t>
        </is>
      </c>
      <c r="F3223" t="inlineStr">
        <is>
          <t>Kommuner</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4525-2021</t>
        </is>
      </c>
      <c r="B3224" s="1" t="n">
        <v>44224</v>
      </c>
      <c r="C3224" s="1" t="n">
        <v>45210</v>
      </c>
      <c r="D3224" t="inlineStr">
        <is>
          <t>DALARNAS LÄN</t>
        </is>
      </c>
      <c r="E3224" t="inlineStr">
        <is>
          <t>MALUNG-SÄLEN</t>
        </is>
      </c>
      <c r="G3224" t="n">
        <v>5.3</v>
      </c>
      <c r="H3224" t="n">
        <v>0</v>
      </c>
      <c r="I3224" t="n">
        <v>0</v>
      </c>
      <c r="J3224" t="n">
        <v>0</v>
      </c>
      <c r="K3224" t="n">
        <v>0</v>
      </c>
      <c r="L3224" t="n">
        <v>0</v>
      </c>
      <c r="M3224" t="n">
        <v>0</v>
      </c>
      <c r="N3224" t="n">
        <v>0</v>
      </c>
      <c r="O3224" t="n">
        <v>0</v>
      </c>
      <c r="P3224" t="n">
        <v>0</v>
      </c>
      <c r="Q3224" t="n">
        <v>0</v>
      </c>
      <c r="R3224" s="2" t="inlineStr"/>
    </row>
    <row r="3225" ht="15" customHeight="1">
      <c r="A3225" t="inlineStr">
        <is>
          <t>A 5030-2021</t>
        </is>
      </c>
      <c r="B3225" s="1" t="n">
        <v>44228</v>
      </c>
      <c r="C3225" s="1" t="n">
        <v>45210</v>
      </c>
      <c r="D3225" t="inlineStr">
        <is>
          <t>DALARNAS LÄN</t>
        </is>
      </c>
      <c r="E3225" t="inlineStr">
        <is>
          <t>RÄTTVIK</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5123-2021</t>
        </is>
      </c>
      <c r="B3226" s="1" t="n">
        <v>44228</v>
      </c>
      <c r="C3226" s="1" t="n">
        <v>45210</v>
      </c>
      <c r="D3226" t="inlineStr">
        <is>
          <t>DALARNAS LÄN</t>
        </is>
      </c>
      <c r="E3226" t="inlineStr">
        <is>
          <t>FALUN</t>
        </is>
      </c>
      <c r="G3226" t="n">
        <v>8.1</v>
      </c>
      <c r="H3226" t="n">
        <v>0</v>
      </c>
      <c r="I3226" t="n">
        <v>0</v>
      </c>
      <c r="J3226" t="n">
        <v>0</v>
      </c>
      <c r="K3226" t="n">
        <v>0</v>
      </c>
      <c r="L3226" t="n">
        <v>0</v>
      </c>
      <c r="M3226" t="n">
        <v>0</v>
      </c>
      <c r="N3226" t="n">
        <v>0</v>
      </c>
      <c r="O3226" t="n">
        <v>0</v>
      </c>
      <c r="P3226" t="n">
        <v>0</v>
      </c>
      <c r="Q3226" t="n">
        <v>0</v>
      </c>
      <c r="R3226" s="2" t="inlineStr"/>
    </row>
    <row r="3227" ht="15" customHeight="1">
      <c r="A3227" t="inlineStr">
        <is>
          <t>A 5058-2021</t>
        </is>
      </c>
      <c r="B3227" s="1" t="n">
        <v>44228</v>
      </c>
      <c r="C3227" s="1" t="n">
        <v>45210</v>
      </c>
      <c r="D3227" t="inlineStr">
        <is>
          <t>DALARNAS LÄN</t>
        </is>
      </c>
      <c r="E3227" t="inlineStr">
        <is>
          <t>BORLÄNGE</t>
        </is>
      </c>
      <c r="G3227" t="n">
        <v>4.2</v>
      </c>
      <c r="H3227" t="n">
        <v>0</v>
      </c>
      <c r="I3227" t="n">
        <v>0</v>
      </c>
      <c r="J3227" t="n">
        <v>0</v>
      </c>
      <c r="K3227" t="n">
        <v>0</v>
      </c>
      <c r="L3227" t="n">
        <v>0</v>
      </c>
      <c r="M3227" t="n">
        <v>0</v>
      </c>
      <c r="N3227" t="n">
        <v>0</v>
      </c>
      <c r="O3227" t="n">
        <v>0</v>
      </c>
      <c r="P3227" t="n">
        <v>0</v>
      </c>
      <c r="Q3227" t="n">
        <v>0</v>
      </c>
      <c r="R3227" s="2" t="inlineStr"/>
    </row>
    <row r="3228" ht="15" customHeight="1">
      <c r="A3228" t="inlineStr">
        <is>
          <t>A 5155-2021</t>
        </is>
      </c>
      <c r="B3228" s="1" t="n">
        <v>44228</v>
      </c>
      <c r="C3228" s="1" t="n">
        <v>45210</v>
      </c>
      <c r="D3228" t="inlineStr">
        <is>
          <t>DALARNAS LÄN</t>
        </is>
      </c>
      <c r="E3228" t="inlineStr">
        <is>
          <t>RÄTTVIK</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5215-2021</t>
        </is>
      </c>
      <c r="B3229" s="1" t="n">
        <v>44229</v>
      </c>
      <c r="C3229" s="1" t="n">
        <v>45210</v>
      </c>
      <c r="D3229" t="inlineStr">
        <is>
          <t>DALARNAS LÄN</t>
        </is>
      </c>
      <c r="E3229" t="inlineStr">
        <is>
          <t>MALUNG-SÄLEN</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5319-2021</t>
        </is>
      </c>
      <c r="B3230" s="1" t="n">
        <v>44229</v>
      </c>
      <c r="C3230" s="1" t="n">
        <v>45210</v>
      </c>
      <c r="D3230" t="inlineStr">
        <is>
          <t>DALARNAS LÄN</t>
        </is>
      </c>
      <c r="E3230" t="inlineStr">
        <is>
          <t>ÄLVDALEN</t>
        </is>
      </c>
      <c r="F3230" t="inlineStr">
        <is>
          <t>Kommuner</t>
        </is>
      </c>
      <c r="G3230" t="n">
        <v>15.3</v>
      </c>
      <c r="H3230" t="n">
        <v>0</v>
      </c>
      <c r="I3230" t="n">
        <v>0</v>
      </c>
      <c r="J3230" t="n">
        <v>0</v>
      </c>
      <c r="K3230" t="n">
        <v>0</v>
      </c>
      <c r="L3230" t="n">
        <v>0</v>
      </c>
      <c r="M3230" t="n">
        <v>0</v>
      </c>
      <c r="N3230" t="n">
        <v>0</v>
      </c>
      <c r="O3230" t="n">
        <v>0</v>
      </c>
      <c r="P3230" t="n">
        <v>0</v>
      </c>
      <c r="Q3230" t="n">
        <v>0</v>
      </c>
      <c r="R3230" s="2" t="inlineStr"/>
    </row>
    <row r="3231" ht="15" customHeight="1">
      <c r="A3231" t="inlineStr">
        <is>
          <t>A 5769-2021</t>
        </is>
      </c>
      <c r="B3231" s="1" t="n">
        <v>44230</v>
      </c>
      <c r="C3231" s="1" t="n">
        <v>45210</v>
      </c>
      <c r="D3231" t="inlineStr">
        <is>
          <t>DALARNAS LÄN</t>
        </is>
      </c>
      <c r="E3231" t="inlineStr">
        <is>
          <t>AVESTA</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5567-2021</t>
        </is>
      </c>
      <c r="B3232" s="1" t="n">
        <v>44230</v>
      </c>
      <c r="C3232" s="1" t="n">
        <v>45210</v>
      </c>
      <c r="D3232" t="inlineStr">
        <is>
          <t>DALARNAS LÄN</t>
        </is>
      </c>
      <c r="E3232" t="inlineStr">
        <is>
          <t>ÄLVDALEN</t>
        </is>
      </c>
      <c r="F3232" t="inlineStr">
        <is>
          <t>Övriga statliga verk och myndigheter</t>
        </is>
      </c>
      <c r="G3232" t="n">
        <v>29.1</v>
      </c>
      <c r="H3232" t="n">
        <v>0</v>
      </c>
      <c r="I3232" t="n">
        <v>0</v>
      </c>
      <c r="J3232" t="n">
        <v>0</v>
      </c>
      <c r="K3232" t="n">
        <v>0</v>
      </c>
      <c r="L3232" t="n">
        <v>0</v>
      </c>
      <c r="M3232" t="n">
        <v>0</v>
      </c>
      <c r="N3232" t="n">
        <v>0</v>
      </c>
      <c r="O3232" t="n">
        <v>0</v>
      </c>
      <c r="P3232" t="n">
        <v>0</v>
      </c>
      <c r="Q3232" t="n">
        <v>0</v>
      </c>
      <c r="R3232" s="2" t="inlineStr"/>
    </row>
    <row r="3233" ht="15" customHeight="1">
      <c r="A3233" t="inlineStr">
        <is>
          <t>A 5581-2021</t>
        </is>
      </c>
      <c r="B3233" s="1" t="n">
        <v>44230</v>
      </c>
      <c r="C3233" s="1" t="n">
        <v>45210</v>
      </c>
      <c r="D3233" t="inlineStr">
        <is>
          <t>DALARNAS LÄN</t>
        </is>
      </c>
      <c r="E3233" t="inlineStr">
        <is>
          <t>ÄLVDALEN</t>
        </is>
      </c>
      <c r="F3233" t="inlineStr">
        <is>
          <t>Övriga statliga verk och myndigheter</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5616-2021</t>
        </is>
      </c>
      <c r="B3234" s="1" t="n">
        <v>44230</v>
      </c>
      <c r="C3234" s="1" t="n">
        <v>45210</v>
      </c>
      <c r="D3234" t="inlineStr">
        <is>
          <t>DALARNAS LÄN</t>
        </is>
      </c>
      <c r="E3234" t="inlineStr">
        <is>
          <t>SMEDJEBACKEN</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5644-2021</t>
        </is>
      </c>
      <c r="B3235" s="1" t="n">
        <v>44230</v>
      </c>
      <c r="C3235" s="1" t="n">
        <v>45210</v>
      </c>
      <c r="D3235" t="inlineStr">
        <is>
          <t>DALARNAS LÄN</t>
        </is>
      </c>
      <c r="E3235" t="inlineStr">
        <is>
          <t>VANSBRO</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5704-2021</t>
        </is>
      </c>
      <c r="B3236" s="1" t="n">
        <v>44230</v>
      </c>
      <c r="C3236" s="1" t="n">
        <v>45210</v>
      </c>
      <c r="D3236" t="inlineStr">
        <is>
          <t>DALARNAS LÄN</t>
        </is>
      </c>
      <c r="E3236" t="inlineStr">
        <is>
          <t>AVESTA</t>
        </is>
      </c>
      <c r="G3236" t="n">
        <v>5.1</v>
      </c>
      <c r="H3236" t="n">
        <v>0</v>
      </c>
      <c r="I3236" t="n">
        <v>0</v>
      </c>
      <c r="J3236" t="n">
        <v>0</v>
      </c>
      <c r="K3236" t="n">
        <v>0</v>
      </c>
      <c r="L3236" t="n">
        <v>0</v>
      </c>
      <c r="M3236" t="n">
        <v>0</v>
      </c>
      <c r="N3236" t="n">
        <v>0</v>
      </c>
      <c r="O3236" t="n">
        <v>0</v>
      </c>
      <c r="P3236" t="n">
        <v>0</v>
      </c>
      <c r="Q3236" t="n">
        <v>0</v>
      </c>
      <c r="R3236" s="2" t="inlineStr"/>
    </row>
    <row r="3237" ht="15" customHeight="1">
      <c r="A3237" t="inlineStr">
        <is>
          <t>A 5707-2021</t>
        </is>
      </c>
      <c r="B3237" s="1" t="n">
        <v>44230</v>
      </c>
      <c r="C3237" s="1" t="n">
        <v>45210</v>
      </c>
      <c r="D3237" t="inlineStr">
        <is>
          <t>DALARNAS LÄN</t>
        </is>
      </c>
      <c r="E3237" t="inlineStr">
        <is>
          <t>SMEDJEBACKEN</t>
        </is>
      </c>
      <c r="G3237" t="n">
        <v>4.7</v>
      </c>
      <c r="H3237" t="n">
        <v>0</v>
      </c>
      <c r="I3237" t="n">
        <v>0</v>
      </c>
      <c r="J3237" t="n">
        <v>0</v>
      </c>
      <c r="K3237" t="n">
        <v>0</v>
      </c>
      <c r="L3237" t="n">
        <v>0</v>
      </c>
      <c r="M3237" t="n">
        <v>0</v>
      </c>
      <c r="N3237" t="n">
        <v>0</v>
      </c>
      <c r="O3237" t="n">
        <v>0</v>
      </c>
      <c r="P3237" t="n">
        <v>0</v>
      </c>
      <c r="Q3237" t="n">
        <v>0</v>
      </c>
      <c r="R3237" s="2" t="inlineStr"/>
    </row>
    <row r="3238" ht="15" customHeight="1">
      <c r="A3238" t="inlineStr">
        <is>
          <t>A 6257-2021</t>
        </is>
      </c>
      <c r="B3238" s="1" t="n">
        <v>44232</v>
      </c>
      <c r="C3238" s="1" t="n">
        <v>45210</v>
      </c>
      <c r="D3238" t="inlineStr">
        <is>
          <t>DALARNAS LÄN</t>
        </is>
      </c>
      <c r="E3238" t="inlineStr">
        <is>
          <t>AVESTA</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6185-2021</t>
        </is>
      </c>
      <c r="B3239" s="1" t="n">
        <v>44233</v>
      </c>
      <c r="C3239" s="1" t="n">
        <v>45210</v>
      </c>
      <c r="D3239" t="inlineStr">
        <is>
          <t>DALARNAS LÄN</t>
        </is>
      </c>
      <c r="E3239" t="inlineStr">
        <is>
          <t>HEDEMORA</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6187-2021</t>
        </is>
      </c>
      <c r="B3240" s="1" t="n">
        <v>44234</v>
      </c>
      <c r="C3240" s="1" t="n">
        <v>45210</v>
      </c>
      <c r="D3240" t="inlineStr">
        <is>
          <t>DALARNAS LÄN</t>
        </is>
      </c>
      <c r="E3240" t="inlineStr">
        <is>
          <t>SMEDJEBACKEN</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6241-2021</t>
        </is>
      </c>
      <c r="B3241" s="1" t="n">
        <v>44235</v>
      </c>
      <c r="C3241" s="1" t="n">
        <v>45210</v>
      </c>
      <c r="D3241" t="inlineStr">
        <is>
          <t>DALARNAS LÄN</t>
        </is>
      </c>
      <c r="E3241" t="inlineStr">
        <is>
          <t>VANSBRO</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6254-2021</t>
        </is>
      </c>
      <c r="B3242" s="1" t="n">
        <v>44235</v>
      </c>
      <c r="C3242" s="1" t="n">
        <v>45210</v>
      </c>
      <c r="D3242" t="inlineStr">
        <is>
          <t>DALARNAS LÄN</t>
        </is>
      </c>
      <c r="E3242" t="inlineStr">
        <is>
          <t>MALUNG-SÄLEN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6441-2021</t>
        </is>
      </c>
      <c r="B3243" s="1" t="n">
        <v>44235</v>
      </c>
      <c r="C3243" s="1" t="n">
        <v>45210</v>
      </c>
      <c r="D3243" t="inlineStr">
        <is>
          <t>DALARNAS LÄN</t>
        </is>
      </c>
      <c r="E3243" t="inlineStr">
        <is>
          <t>HEDEMORA</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6735-2021</t>
        </is>
      </c>
      <c r="B3244" s="1" t="n">
        <v>44236</v>
      </c>
      <c r="C3244" s="1" t="n">
        <v>45210</v>
      </c>
      <c r="D3244" t="inlineStr">
        <is>
          <t>DALARNAS LÄN</t>
        </is>
      </c>
      <c r="E3244" t="inlineStr">
        <is>
          <t>SMEDJEBACKEN</t>
        </is>
      </c>
      <c r="F3244" t="inlineStr">
        <is>
          <t>Övriga Aktiebolag</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6772-2021</t>
        </is>
      </c>
      <c r="B3245" s="1" t="n">
        <v>44236</v>
      </c>
      <c r="C3245" s="1" t="n">
        <v>45210</v>
      </c>
      <c r="D3245" t="inlineStr">
        <is>
          <t>DALARNAS LÄN</t>
        </is>
      </c>
      <c r="E3245" t="inlineStr">
        <is>
          <t>SÄTER</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7073-2021</t>
        </is>
      </c>
      <c r="B3246" s="1" t="n">
        <v>44237</v>
      </c>
      <c r="C3246" s="1" t="n">
        <v>45210</v>
      </c>
      <c r="D3246" t="inlineStr">
        <is>
          <t>DALARNAS LÄN</t>
        </is>
      </c>
      <c r="E3246" t="inlineStr">
        <is>
          <t>LUDVIKA</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7164-2021</t>
        </is>
      </c>
      <c r="B3247" s="1" t="n">
        <v>44238</v>
      </c>
      <c r="C3247" s="1" t="n">
        <v>45210</v>
      </c>
      <c r="D3247" t="inlineStr">
        <is>
          <t>DALARNAS LÄN</t>
        </is>
      </c>
      <c r="E3247" t="inlineStr">
        <is>
          <t>ÄLVDALEN</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7232-2021</t>
        </is>
      </c>
      <c r="B3248" s="1" t="n">
        <v>44238</v>
      </c>
      <c r="C3248" s="1" t="n">
        <v>45210</v>
      </c>
      <c r="D3248" t="inlineStr">
        <is>
          <t>DALARNAS LÄN</t>
        </is>
      </c>
      <c r="E3248" t="inlineStr">
        <is>
          <t>ÄLVDALEN</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7596-2021</t>
        </is>
      </c>
      <c r="B3249" s="1" t="n">
        <v>44241</v>
      </c>
      <c r="C3249" s="1" t="n">
        <v>45210</v>
      </c>
      <c r="D3249" t="inlineStr">
        <is>
          <t>DALARNAS LÄN</t>
        </is>
      </c>
      <c r="E3249" t="inlineStr">
        <is>
          <t>FALUN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7672-2021</t>
        </is>
      </c>
      <c r="B3250" s="1" t="n">
        <v>44242</v>
      </c>
      <c r="C3250" s="1" t="n">
        <v>45210</v>
      </c>
      <c r="D3250" t="inlineStr">
        <is>
          <t>DALARNAS LÄN</t>
        </is>
      </c>
      <c r="E3250" t="inlineStr">
        <is>
          <t>AVESTA</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7667-2021</t>
        </is>
      </c>
      <c r="B3251" s="1" t="n">
        <v>44242</v>
      </c>
      <c r="C3251" s="1" t="n">
        <v>45210</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7859-2021</t>
        </is>
      </c>
      <c r="B3252" s="1" t="n">
        <v>44242</v>
      </c>
      <c r="C3252" s="1" t="n">
        <v>45210</v>
      </c>
      <c r="D3252" t="inlineStr">
        <is>
          <t>DALARNAS LÄN</t>
        </is>
      </c>
      <c r="E3252" t="inlineStr">
        <is>
          <t>MALUNG-SÄLEN</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7749-2021</t>
        </is>
      </c>
      <c r="B3253" s="1" t="n">
        <v>44242</v>
      </c>
      <c r="C3253" s="1" t="n">
        <v>45210</v>
      </c>
      <c r="D3253" t="inlineStr">
        <is>
          <t>DALARNAS LÄN</t>
        </is>
      </c>
      <c r="E3253" t="inlineStr">
        <is>
          <t>RÄTTVIK</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7811-2021</t>
        </is>
      </c>
      <c r="B3254" s="1" t="n">
        <v>44242</v>
      </c>
      <c r="C3254" s="1" t="n">
        <v>45210</v>
      </c>
      <c r="D3254" t="inlineStr">
        <is>
          <t>DALARNAS LÄN</t>
        </is>
      </c>
      <c r="E3254" t="inlineStr">
        <is>
          <t>FALUN</t>
        </is>
      </c>
      <c r="G3254" t="n">
        <v>5.4</v>
      </c>
      <c r="H3254" t="n">
        <v>0</v>
      </c>
      <c r="I3254" t="n">
        <v>0</v>
      </c>
      <c r="J3254" t="n">
        <v>0</v>
      </c>
      <c r="K3254" t="n">
        <v>0</v>
      </c>
      <c r="L3254" t="n">
        <v>0</v>
      </c>
      <c r="M3254" t="n">
        <v>0</v>
      </c>
      <c r="N3254" t="n">
        <v>0</v>
      </c>
      <c r="O3254" t="n">
        <v>0</v>
      </c>
      <c r="P3254" t="n">
        <v>0</v>
      </c>
      <c r="Q3254" t="n">
        <v>0</v>
      </c>
      <c r="R3254" s="2" t="inlineStr"/>
    </row>
    <row r="3255" ht="15" customHeight="1">
      <c r="A3255" t="inlineStr">
        <is>
          <t>A 8064-2021</t>
        </is>
      </c>
      <c r="B3255" s="1" t="n">
        <v>44243</v>
      </c>
      <c r="C3255" s="1" t="n">
        <v>45210</v>
      </c>
      <c r="D3255" t="inlineStr">
        <is>
          <t>DALARNAS LÄN</t>
        </is>
      </c>
      <c r="E3255" t="inlineStr">
        <is>
          <t>MORA</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8153-2021</t>
        </is>
      </c>
      <c r="B3256" s="1" t="n">
        <v>44244</v>
      </c>
      <c r="C3256" s="1" t="n">
        <v>45210</v>
      </c>
      <c r="D3256" t="inlineStr">
        <is>
          <t>DALARNAS LÄN</t>
        </is>
      </c>
      <c r="E3256" t="inlineStr">
        <is>
          <t>MORA</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8208-2021</t>
        </is>
      </c>
      <c r="B3257" s="1" t="n">
        <v>44244</v>
      </c>
      <c r="C3257" s="1" t="n">
        <v>45210</v>
      </c>
      <c r="D3257" t="inlineStr">
        <is>
          <t>DALARNAS LÄN</t>
        </is>
      </c>
      <c r="E3257" t="inlineStr">
        <is>
          <t>BORLÄNGE</t>
        </is>
      </c>
      <c r="G3257" t="n">
        <v>4.8</v>
      </c>
      <c r="H3257" t="n">
        <v>0</v>
      </c>
      <c r="I3257" t="n">
        <v>0</v>
      </c>
      <c r="J3257" t="n">
        <v>0</v>
      </c>
      <c r="K3257" t="n">
        <v>0</v>
      </c>
      <c r="L3257" t="n">
        <v>0</v>
      </c>
      <c r="M3257" t="n">
        <v>0</v>
      </c>
      <c r="N3257" t="n">
        <v>0</v>
      </c>
      <c r="O3257" t="n">
        <v>0</v>
      </c>
      <c r="P3257" t="n">
        <v>0</v>
      </c>
      <c r="Q3257" t="n">
        <v>0</v>
      </c>
      <c r="R3257" s="2" t="inlineStr"/>
    </row>
    <row r="3258" ht="15" customHeight="1">
      <c r="A3258" t="inlineStr">
        <is>
          <t>A 8146-2021</t>
        </is>
      </c>
      <c r="B3258" s="1" t="n">
        <v>44244</v>
      </c>
      <c r="C3258" s="1" t="n">
        <v>45210</v>
      </c>
      <c r="D3258" t="inlineStr">
        <is>
          <t>DALARNAS LÄN</t>
        </is>
      </c>
      <c r="E3258" t="inlineStr">
        <is>
          <t>MORA</t>
        </is>
      </c>
      <c r="G3258" t="n">
        <v>2.1</v>
      </c>
      <c r="H3258" t="n">
        <v>0</v>
      </c>
      <c r="I3258" t="n">
        <v>0</v>
      </c>
      <c r="J3258" t="n">
        <v>0</v>
      </c>
      <c r="K3258" t="n">
        <v>0</v>
      </c>
      <c r="L3258" t="n">
        <v>0</v>
      </c>
      <c r="M3258" t="n">
        <v>0</v>
      </c>
      <c r="N3258" t="n">
        <v>0</v>
      </c>
      <c r="O3258" t="n">
        <v>0</v>
      </c>
      <c r="P3258" t="n">
        <v>0</v>
      </c>
      <c r="Q3258" t="n">
        <v>0</v>
      </c>
      <c r="R3258" s="2" t="inlineStr"/>
    </row>
    <row r="3259" ht="15" customHeight="1">
      <c r="A3259" t="inlineStr">
        <is>
          <t>A 8876-2021</t>
        </is>
      </c>
      <c r="B3259" s="1" t="n">
        <v>44247</v>
      </c>
      <c r="C3259" s="1" t="n">
        <v>45210</v>
      </c>
      <c r="D3259" t="inlineStr">
        <is>
          <t>DALARNAS LÄN</t>
        </is>
      </c>
      <c r="E3259" t="inlineStr">
        <is>
          <t>GAGNEF</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9131-2021</t>
        </is>
      </c>
      <c r="B3260" s="1" t="n">
        <v>44249</v>
      </c>
      <c r="C3260" s="1" t="n">
        <v>45210</v>
      </c>
      <c r="D3260" t="inlineStr">
        <is>
          <t>DALARNAS LÄN</t>
        </is>
      </c>
      <c r="E3260" t="inlineStr">
        <is>
          <t>LEKSAND</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9133-2021</t>
        </is>
      </c>
      <c r="B3261" s="1" t="n">
        <v>44249</v>
      </c>
      <c r="C3261" s="1" t="n">
        <v>45210</v>
      </c>
      <c r="D3261" t="inlineStr">
        <is>
          <t>DALARNAS LÄN</t>
        </is>
      </c>
      <c r="E3261" t="inlineStr">
        <is>
          <t>LEKSAND</t>
        </is>
      </c>
      <c r="G3261" t="n">
        <v>2.5</v>
      </c>
      <c r="H3261" t="n">
        <v>0</v>
      </c>
      <c r="I3261" t="n">
        <v>0</v>
      </c>
      <c r="J3261" t="n">
        <v>0</v>
      </c>
      <c r="K3261" t="n">
        <v>0</v>
      </c>
      <c r="L3261" t="n">
        <v>0</v>
      </c>
      <c r="M3261" t="n">
        <v>0</v>
      </c>
      <c r="N3261" t="n">
        <v>0</v>
      </c>
      <c r="O3261" t="n">
        <v>0</v>
      </c>
      <c r="P3261" t="n">
        <v>0</v>
      </c>
      <c r="Q3261" t="n">
        <v>0</v>
      </c>
      <c r="R3261" s="2" t="inlineStr"/>
    </row>
    <row r="3262" ht="15" customHeight="1">
      <c r="A3262" t="inlineStr">
        <is>
          <t>A 8947-2021</t>
        </is>
      </c>
      <c r="B3262" s="1" t="n">
        <v>44249</v>
      </c>
      <c r="C3262" s="1" t="n">
        <v>45210</v>
      </c>
      <c r="D3262" t="inlineStr">
        <is>
          <t>DALARNAS LÄN</t>
        </is>
      </c>
      <c r="E3262" t="inlineStr">
        <is>
          <t>VANSBRO</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9292-2021</t>
        </is>
      </c>
      <c r="B3263" s="1" t="n">
        <v>44249</v>
      </c>
      <c r="C3263" s="1" t="n">
        <v>45210</v>
      </c>
      <c r="D3263" t="inlineStr">
        <is>
          <t>DALARNAS LÄN</t>
        </is>
      </c>
      <c r="E3263" t="inlineStr">
        <is>
          <t>LUDVIKA</t>
        </is>
      </c>
      <c r="G3263" t="n">
        <v>5.1</v>
      </c>
      <c r="H3263" t="n">
        <v>0</v>
      </c>
      <c r="I3263" t="n">
        <v>0</v>
      </c>
      <c r="J3263" t="n">
        <v>0</v>
      </c>
      <c r="K3263" t="n">
        <v>0</v>
      </c>
      <c r="L3263" t="n">
        <v>0</v>
      </c>
      <c r="M3263" t="n">
        <v>0</v>
      </c>
      <c r="N3263" t="n">
        <v>0</v>
      </c>
      <c r="O3263" t="n">
        <v>0</v>
      </c>
      <c r="P3263" t="n">
        <v>0</v>
      </c>
      <c r="Q3263" t="n">
        <v>0</v>
      </c>
      <c r="R3263" s="2" t="inlineStr"/>
    </row>
    <row r="3264" ht="15" customHeight="1">
      <c r="A3264" t="inlineStr">
        <is>
          <t>A 9716-2021</t>
        </is>
      </c>
      <c r="B3264" s="1" t="n">
        <v>44252</v>
      </c>
      <c r="C3264" s="1" t="n">
        <v>45210</v>
      </c>
      <c r="D3264" t="inlineStr">
        <is>
          <t>DALARNAS LÄN</t>
        </is>
      </c>
      <c r="E3264" t="inlineStr">
        <is>
          <t>SÄTER</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9833-2021</t>
        </is>
      </c>
      <c r="B3265" s="1" t="n">
        <v>44253</v>
      </c>
      <c r="C3265" s="1" t="n">
        <v>45210</v>
      </c>
      <c r="D3265" t="inlineStr">
        <is>
          <t>DALARNAS LÄN</t>
        </is>
      </c>
      <c r="E3265" t="inlineStr">
        <is>
          <t>GAGNEF</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9959-2021</t>
        </is>
      </c>
      <c r="B3266" s="1" t="n">
        <v>44253</v>
      </c>
      <c r="C3266" s="1" t="n">
        <v>45210</v>
      </c>
      <c r="D3266" t="inlineStr">
        <is>
          <t>DALARNAS LÄN</t>
        </is>
      </c>
      <c r="E3266" t="inlineStr">
        <is>
          <t>HEDEMORA</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10233-2021</t>
        </is>
      </c>
      <c r="B3267" s="1" t="n">
        <v>44256</v>
      </c>
      <c r="C3267" s="1" t="n">
        <v>45210</v>
      </c>
      <c r="D3267" t="inlineStr">
        <is>
          <t>DALARNAS LÄN</t>
        </is>
      </c>
      <c r="E3267" t="inlineStr">
        <is>
          <t>FALUN</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10199-2021</t>
        </is>
      </c>
      <c r="B3268" s="1" t="n">
        <v>44256</v>
      </c>
      <c r="C3268" s="1" t="n">
        <v>45210</v>
      </c>
      <c r="D3268" t="inlineStr">
        <is>
          <t>DALARNAS LÄN</t>
        </is>
      </c>
      <c r="E3268" t="inlineStr">
        <is>
          <t>FALUN</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10223-2021</t>
        </is>
      </c>
      <c r="B3269" s="1" t="n">
        <v>44256</v>
      </c>
      <c r="C3269" s="1" t="n">
        <v>45210</v>
      </c>
      <c r="D3269" t="inlineStr">
        <is>
          <t>DALARNAS LÄN</t>
        </is>
      </c>
      <c r="E3269" t="inlineStr">
        <is>
          <t>FALUN</t>
        </is>
      </c>
      <c r="G3269" t="n">
        <v>7.4</v>
      </c>
      <c r="H3269" t="n">
        <v>0</v>
      </c>
      <c r="I3269" t="n">
        <v>0</v>
      </c>
      <c r="J3269" t="n">
        <v>0</v>
      </c>
      <c r="K3269" t="n">
        <v>0</v>
      </c>
      <c r="L3269" t="n">
        <v>0</v>
      </c>
      <c r="M3269" t="n">
        <v>0</v>
      </c>
      <c r="N3269" t="n">
        <v>0</v>
      </c>
      <c r="O3269" t="n">
        <v>0</v>
      </c>
      <c r="P3269" t="n">
        <v>0</v>
      </c>
      <c r="Q3269" t="n">
        <v>0</v>
      </c>
      <c r="R3269" s="2" t="inlineStr"/>
    </row>
    <row r="3270" ht="15" customHeight="1">
      <c r="A3270" t="inlineStr">
        <is>
          <t>A 10419-2021</t>
        </is>
      </c>
      <c r="B3270" s="1" t="n">
        <v>44257</v>
      </c>
      <c r="C3270" s="1" t="n">
        <v>45210</v>
      </c>
      <c r="D3270" t="inlineStr">
        <is>
          <t>DALARNAS LÄN</t>
        </is>
      </c>
      <c r="E3270" t="inlineStr">
        <is>
          <t>VANSBRO</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10997-2021</t>
        </is>
      </c>
      <c r="B3271" s="1" t="n">
        <v>44260</v>
      </c>
      <c r="C3271" s="1" t="n">
        <v>45210</v>
      </c>
      <c r="D3271" t="inlineStr">
        <is>
          <t>DALARNAS LÄN</t>
        </is>
      </c>
      <c r="E3271" t="inlineStr">
        <is>
          <t>SMEDJEBACKEN</t>
        </is>
      </c>
      <c r="G3271" t="n">
        <v>5.7</v>
      </c>
      <c r="H3271" t="n">
        <v>0</v>
      </c>
      <c r="I3271" t="n">
        <v>0</v>
      </c>
      <c r="J3271" t="n">
        <v>0</v>
      </c>
      <c r="K3271" t="n">
        <v>0</v>
      </c>
      <c r="L3271" t="n">
        <v>0</v>
      </c>
      <c r="M3271" t="n">
        <v>0</v>
      </c>
      <c r="N3271" t="n">
        <v>0</v>
      </c>
      <c r="O3271" t="n">
        <v>0</v>
      </c>
      <c r="P3271" t="n">
        <v>0</v>
      </c>
      <c r="Q3271" t="n">
        <v>0</v>
      </c>
      <c r="R3271" s="2" t="inlineStr"/>
    </row>
    <row r="3272" ht="15" customHeight="1">
      <c r="A3272" t="inlineStr">
        <is>
          <t>A 11032-2021</t>
        </is>
      </c>
      <c r="B3272" s="1" t="n">
        <v>44260</v>
      </c>
      <c r="C3272" s="1" t="n">
        <v>45210</v>
      </c>
      <c r="D3272" t="inlineStr">
        <is>
          <t>DALARNAS LÄN</t>
        </is>
      </c>
      <c r="E3272" t="inlineStr">
        <is>
          <t>ÄLVDALEN</t>
        </is>
      </c>
      <c r="F3272" t="inlineStr">
        <is>
          <t>Övriga statliga verk och myndigheter</t>
        </is>
      </c>
      <c r="G3272" t="n">
        <v>35.9</v>
      </c>
      <c r="H3272" t="n">
        <v>0</v>
      </c>
      <c r="I3272" t="n">
        <v>0</v>
      </c>
      <c r="J3272" t="n">
        <v>0</v>
      </c>
      <c r="K3272" t="n">
        <v>0</v>
      </c>
      <c r="L3272" t="n">
        <v>0</v>
      </c>
      <c r="M3272" t="n">
        <v>0</v>
      </c>
      <c r="N3272" t="n">
        <v>0</v>
      </c>
      <c r="O3272" t="n">
        <v>0</v>
      </c>
      <c r="P3272" t="n">
        <v>0</v>
      </c>
      <c r="Q3272" t="n">
        <v>0</v>
      </c>
      <c r="R3272" s="2" t="inlineStr"/>
    </row>
    <row r="3273" ht="15" customHeight="1">
      <c r="A3273" t="inlineStr">
        <is>
          <t>A 10996-2021</t>
        </is>
      </c>
      <c r="B3273" s="1" t="n">
        <v>44260</v>
      </c>
      <c r="C3273" s="1" t="n">
        <v>45210</v>
      </c>
      <c r="D3273" t="inlineStr">
        <is>
          <t>DALARNAS LÄN</t>
        </is>
      </c>
      <c r="E3273" t="inlineStr">
        <is>
          <t>SMEDJEBACKEN</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11143-2021</t>
        </is>
      </c>
      <c r="B3274" s="1" t="n">
        <v>44261</v>
      </c>
      <c r="C3274" s="1" t="n">
        <v>45210</v>
      </c>
      <c r="D3274" t="inlineStr">
        <is>
          <t>DALARNAS LÄN</t>
        </is>
      </c>
      <c r="E3274" t="inlineStr">
        <is>
          <t>SMEDJEBACKEN</t>
        </is>
      </c>
      <c r="G3274" t="n">
        <v>1.9</v>
      </c>
      <c r="H3274" t="n">
        <v>0</v>
      </c>
      <c r="I3274" t="n">
        <v>0</v>
      </c>
      <c r="J3274" t="n">
        <v>0</v>
      </c>
      <c r="K3274" t="n">
        <v>0</v>
      </c>
      <c r="L3274" t="n">
        <v>0</v>
      </c>
      <c r="M3274" t="n">
        <v>0</v>
      </c>
      <c r="N3274" t="n">
        <v>0</v>
      </c>
      <c r="O3274" t="n">
        <v>0</v>
      </c>
      <c r="P3274" t="n">
        <v>0</v>
      </c>
      <c r="Q3274" t="n">
        <v>0</v>
      </c>
      <c r="R3274" s="2" t="inlineStr"/>
    </row>
    <row r="3275" ht="15" customHeight="1">
      <c r="A3275" t="inlineStr">
        <is>
          <t>A 11141-2021</t>
        </is>
      </c>
      <c r="B3275" s="1" t="n">
        <v>44261</v>
      </c>
      <c r="C3275" s="1" t="n">
        <v>45210</v>
      </c>
      <c r="D3275" t="inlineStr">
        <is>
          <t>DALARNAS LÄN</t>
        </is>
      </c>
      <c r="E3275" t="inlineStr">
        <is>
          <t>SMEDJEBACKEN</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11219-2021</t>
        </is>
      </c>
      <c r="B3276" s="1" t="n">
        <v>44263</v>
      </c>
      <c r="C3276" s="1" t="n">
        <v>45210</v>
      </c>
      <c r="D3276" t="inlineStr">
        <is>
          <t>DALARNAS LÄN</t>
        </is>
      </c>
      <c r="E3276" t="inlineStr">
        <is>
          <t>FALUN</t>
        </is>
      </c>
      <c r="G3276" t="n">
        <v>4.4</v>
      </c>
      <c r="H3276" t="n">
        <v>0</v>
      </c>
      <c r="I3276" t="n">
        <v>0</v>
      </c>
      <c r="J3276" t="n">
        <v>0</v>
      </c>
      <c r="K3276" t="n">
        <v>0</v>
      </c>
      <c r="L3276" t="n">
        <v>0</v>
      </c>
      <c r="M3276" t="n">
        <v>0</v>
      </c>
      <c r="N3276" t="n">
        <v>0</v>
      </c>
      <c r="O3276" t="n">
        <v>0</v>
      </c>
      <c r="P3276" t="n">
        <v>0</v>
      </c>
      <c r="Q3276" t="n">
        <v>0</v>
      </c>
      <c r="R3276" s="2" t="inlineStr"/>
    </row>
    <row r="3277" ht="15" customHeight="1">
      <c r="A3277" t="inlineStr">
        <is>
          <t>A 11611-2021</t>
        </is>
      </c>
      <c r="B3277" s="1" t="n">
        <v>44264</v>
      </c>
      <c r="C3277" s="1" t="n">
        <v>45210</v>
      </c>
      <c r="D3277" t="inlineStr">
        <is>
          <t>DALARNAS LÄN</t>
        </is>
      </c>
      <c r="E3277" t="inlineStr">
        <is>
          <t>LUDVIKA</t>
        </is>
      </c>
      <c r="G3277" t="n">
        <v>8.300000000000001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11539-2021</t>
        </is>
      </c>
      <c r="B3278" s="1" t="n">
        <v>44264</v>
      </c>
      <c r="C3278" s="1" t="n">
        <v>45210</v>
      </c>
      <c r="D3278" t="inlineStr">
        <is>
          <t>DALARNAS LÄN</t>
        </is>
      </c>
      <c r="E3278" t="inlineStr">
        <is>
          <t>GAGNEF</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11549-2021</t>
        </is>
      </c>
      <c r="B3279" s="1" t="n">
        <v>44264</v>
      </c>
      <c r="C3279" s="1" t="n">
        <v>45210</v>
      </c>
      <c r="D3279" t="inlineStr">
        <is>
          <t>DALARNAS LÄN</t>
        </is>
      </c>
      <c r="E3279" t="inlineStr">
        <is>
          <t>GAGNEF</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11910-2021</t>
        </is>
      </c>
      <c r="B3280" s="1" t="n">
        <v>44265</v>
      </c>
      <c r="C3280" s="1" t="n">
        <v>45210</v>
      </c>
      <c r="D3280" t="inlineStr">
        <is>
          <t>DALARNAS LÄN</t>
        </is>
      </c>
      <c r="E3280" t="inlineStr">
        <is>
          <t>FALUN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11995-2021</t>
        </is>
      </c>
      <c r="B3281" s="1" t="n">
        <v>44266</v>
      </c>
      <c r="C3281" s="1" t="n">
        <v>45210</v>
      </c>
      <c r="D3281" t="inlineStr">
        <is>
          <t>DALARNAS LÄN</t>
        </is>
      </c>
      <c r="E3281" t="inlineStr">
        <is>
          <t>GAGNEF</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12151-2021</t>
        </is>
      </c>
      <c r="B3282" s="1" t="n">
        <v>44266</v>
      </c>
      <c r="C3282" s="1" t="n">
        <v>45210</v>
      </c>
      <c r="D3282" t="inlineStr">
        <is>
          <t>DALARNAS LÄN</t>
        </is>
      </c>
      <c r="E3282" t="inlineStr">
        <is>
          <t>MORA</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12376-2021</t>
        </is>
      </c>
      <c r="B3283" s="1" t="n">
        <v>44267</v>
      </c>
      <c r="C3283" s="1" t="n">
        <v>45210</v>
      </c>
      <c r="D3283" t="inlineStr">
        <is>
          <t>DALARNAS LÄN</t>
        </is>
      </c>
      <c r="E3283" t="inlineStr">
        <is>
          <t>MALUNG-SÄLEN</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12898-2021</t>
        </is>
      </c>
      <c r="B3284" s="1" t="n">
        <v>44271</v>
      </c>
      <c r="C3284" s="1" t="n">
        <v>45210</v>
      </c>
      <c r="D3284" t="inlineStr">
        <is>
          <t>DALARNAS LÄN</t>
        </is>
      </c>
      <c r="E3284" t="inlineStr">
        <is>
          <t>RÄTTVIK</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13054-2021</t>
        </is>
      </c>
      <c r="B3285" s="1" t="n">
        <v>44272</v>
      </c>
      <c r="C3285" s="1" t="n">
        <v>45210</v>
      </c>
      <c r="D3285" t="inlineStr">
        <is>
          <t>DALARNAS LÄN</t>
        </is>
      </c>
      <c r="E3285" t="inlineStr">
        <is>
          <t>VANSBRO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13376-2021</t>
        </is>
      </c>
      <c r="B3286" s="1" t="n">
        <v>44273</v>
      </c>
      <c r="C3286" s="1" t="n">
        <v>45210</v>
      </c>
      <c r="D3286" t="inlineStr">
        <is>
          <t>DALARNAS LÄN</t>
        </is>
      </c>
      <c r="E3286" t="inlineStr">
        <is>
          <t>RÄTTVIK</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13702-2021</t>
        </is>
      </c>
      <c r="B3287" s="1" t="n">
        <v>44274</v>
      </c>
      <c r="C3287" s="1" t="n">
        <v>45210</v>
      </c>
      <c r="D3287" t="inlineStr">
        <is>
          <t>DALARNAS LÄN</t>
        </is>
      </c>
      <c r="E3287" t="inlineStr">
        <is>
          <t>BORLÄNGE</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13705-2021</t>
        </is>
      </c>
      <c r="B3288" s="1" t="n">
        <v>44274</v>
      </c>
      <c r="C3288" s="1" t="n">
        <v>45210</v>
      </c>
      <c r="D3288" t="inlineStr">
        <is>
          <t>DALARNAS LÄN</t>
        </is>
      </c>
      <c r="E3288" t="inlineStr">
        <is>
          <t>LEKSAND</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13778-2021</t>
        </is>
      </c>
      <c r="B3289" s="1" t="n">
        <v>44274</v>
      </c>
      <c r="C3289" s="1" t="n">
        <v>45210</v>
      </c>
      <c r="D3289" t="inlineStr">
        <is>
          <t>DALARNAS LÄN</t>
        </is>
      </c>
      <c r="E3289" t="inlineStr">
        <is>
          <t>LUDVIKA</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13934-2021</t>
        </is>
      </c>
      <c r="B3290" s="1" t="n">
        <v>44277</v>
      </c>
      <c r="C3290" s="1" t="n">
        <v>45210</v>
      </c>
      <c r="D3290" t="inlineStr">
        <is>
          <t>DALARNAS LÄN</t>
        </is>
      </c>
      <c r="E3290" t="inlineStr">
        <is>
          <t>MALUNG-SÄLEN</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14432-2021</t>
        </is>
      </c>
      <c r="B3291" s="1" t="n">
        <v>44279</v>
      </c>
      <c r="C3291" s="1" t="n">
        <v>45210</v>
      </c>
      <c r="D3291" t="inlineStr">
        <is>
          <t>DALARNAS LÄN</t>
        </is>
      </c>
      <c r="E3291" t="inlineStr">
        <is>
          <t>BORLÄNGE</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14548-2021</t>
        </is>
      </c>
      <c r="B3292" s="1" t="n">
        <v>44279</v>
      </c>
      <c r="C3292" s="1" t="n">
        <v>45210</v>
      </c>
      <c r="D3292" t="inlineStr">
        <is>
          <t>DALARNAS LÄN</t>
        </is>
      </c>
      <c r="E3292" t="inlineStr">
        <is>
          <t>ÄLVDALEN</t>
        </is>
      </c>
      <c r="G3292" t="n">
        <v>6</v>
      </c>
      <c r="H3292" t="n">
        <v>0</v>
      </c>
      <c r="I3292" t="n">
        <v>0</v>
      </c>
      <c r="J3292" t="n">
        <v>0</v>
      </c>
      <c r="K3292" t="n">
        <v>0</v>
      </c>
      <c r="L3292" t="n">
        <v>0</v>
      </c>
      <c r="M3292" t="n">
        <v>0</v>
      </c>
      <c r="N3292" t="n">
        <v>0</v>
      </c>
      <c r="O3292" t="n">
        <v>0</v>
      </c>
      <c r="P3292" t="n">
        <v>0</v>
      </c>
      <c r="Q3292" t="n">
        <v>0</v>
      </c>
      <c r="R3292" s="2" t="inlineStr"/>
    </row>
    <row r="3293" ht="15" customHeight="1">
      <c r="A3293" t="inlineStr">
        <is>
          <t>A 14691-2021</t>
        </is>
      </c>
      <c r="B3293" s="1" t="n">
        <v>44280</v>
      </c>
      <c r="C3293" s="1" t="n">
        <v>45210</v>
      </c>
      <c r="D3293" t="inlineStr">
        <is>
          <t>DALARNAS LÄN</t>
        </is>
      </c>
      <c r="E3293" t="inlineStr">
        <is>
          <t>BORLÄNGE</t>
        </is>
      </c>
      <c r="G3293" t="n">
        <v>11.7</v>
      </c>
      <c r="H3293" t="n">
        <v>0</v>
      </c>
      <c r="I3293" t="n">
        <v>0</v>
      </c>
      <c r="J3293" t="n">
        <v>0</v>
      </c>
      <c r="K3293" t="n">
        <v>0</v>
      </c>
      <c r="L3293" t="n">
        <v>0</v>
      </c>
      <c r="M3293" t="n">
        <v>0</v>
      </c>
      <c r="N3293" t="n">
        <v>0</v>
      </c>
      <c r="O3293" t="n">
        <v>0</v>
      </c>
      <c r="P3293" t="n">
        <v>0</v>
      </c>
      <c r="Q3293" t="n">
        <v>0</v>
      </c>
      <c r="R3293" s="2" t="inlineStr"/>
    </row>
    <row r="3294" ht="15" customHeight="1">
      <c r="A3294" t="inlineStr">
        <is>
          <t>A 14622-2021</t>
        </is>
      </c>
      <c r="B3294" s="1" t="n">
        <v>44280</v>
      </c>
      <c r="C3294" s="1" t="n">
        <v>45210</v>
      </c>
      <c r="D3294" t="inlineStr">
        <is>
          <t>DALARNAS LÄN</t>
        </is>
      </c>
      <c r="E3294" t="inlineStr">
        <is>
          <t>BORLÄNGE</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14724-2021</t>
        </is>
      </c>
      <c r="B3295" s="1" t="n">
        <v>44280</v>
      </c>
      <c r="C3295" s="1" t="n">
        <v>45210</v>
      </c>
      <c r="D3295" t="inlineStr">
        <is>
          <t>DALARNAS LÄN</t>
        </is>
      </c>
      <c r="E3295" t="inlineStr">
        <is>
          <t>RÄTTVIK</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15045-2021</t>
        </is>
      </c>
      <c r="B3296" s="1" t="n">
        <v>44281</v>
      </c>
      <c r="C3296" s="1" t="n">
        <v>45210</v>
      </c>
      <c r="D3296" t="inlineStr">
        <is>
          <t>DALARNAS LÄN</t>
        </is>
      </c>
      <c r="E3296" t="inlineStr">
        <is>
          <t>ÄLVDALEN</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15079-2021</t>
        </is>
      </c>
      <c r="B3297" s="1" t="n">
        <v>44281</v>
      </c>
      <c r="C3297" s="1" t="n">
        <v>45210</v>
      </c>
      <c r="D3297" t="inlineStr">
        <is>
          <t>DALARNAS LÄN</t>
        </is>
      </c>
      <c r="E3297" t="inlineStr">
        <is>
          <t>RÄTTVIK</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15125-2021</t>
        </is>
      </c>
      <c r="B3298" s="1" t="n">
        <v>44283</v>
      </c>
      <c r="C3298" s="1" t="n">
        <v>45210</v>
      </c>
      <c r="D3298" t="inlineStr">
        <is>
          <t>DALARNAS LÄN</t>
        </is>
      </c>
      <c r="E3298" t="inlineStr">
        <is>
          <t>HEDEMORA</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15331-2021</t>
        </is>
      </c>
      <c r="B3299" s="1" t="n">
        <v>44284</v>
      </c>
      <c r="C3299" s="1" t="n">
        <v>45210</v>
      </c>
      <c r="D3299" t="inlineStr">
        <is>
          <t>DALARNAS LÄN</t>
        </is>
      </c>
      <c r="E3299" t="inlineStr">
        <is>
          <t>SMEDJEBACKEN</t>
        </is>
      </c>
      <c r="G3299" t="n">
        <v>8.199999999999999</v>
      </c>
      <c r="H3299" t="n">
        <v>0</v>
      </c>
      <c r="I3299" t="n">
        <v>0</v>
      </c>
      <c r="J3299" t="n">
        <v>0</v>
      </c>
      <c r="K3299" t="n">
        <v>0</v>
      </c>
      <c r="L3299" t="n">
        <v>0</v>
      </c>
      <c r="M3299" t="n">
        <v>0</v>
      </c>
      <c r="N3299" t="n">
        <v>0</v>
      </c>
      <c r="O3299" t="n">
        <v>0</v>
      </c>
      <c r="P3299" t="n">
        <v>0</v>
      </c>
      <c r="Q3299" t="n">
        <v>0</v>
      </c>
      <c r="R3299" s="2" t="inlineStr"/>
    </row>
    <row r="3300" ht="15" customHeight="1">
      <c r="A3300" t="inlineStr">
        <is>
          <t>A 15138-2021</t>
        </is>
      </c>
      <c r="B3300" s="1" t="n">
        <v>44284</v>
      </c>
      <c r="C3300" s="1" t="n">
        <v>45210</v>
      </c>
      <c r="D3300" t="inlineStr">
        <is>
          <t>DALARNAS LÄN</t>
        </is>
      </c>
      <c r="E3300" t="inlineStr">
        <is>
          <t>RÄTTVIK</t>
        </is>
      </c>
      <c r="G3300" t="n">
        <v>6.4</v>
      </c>
      <c r="H3300" t="n">
        <v>0</v>
      </c>
      <c r="I3300" t="n">
        <v>0</v>
      </c>
      <c r="J3300" t="n">
        <v>0</v>
      </c>
      <c r="K3300" t="n">
        <v>0</v>
      </c>
      <c r="L3300" t="n">
        <v>0</v>
      </c>
      <c r="M3300" t="n">
        <v>0</v>
      </c>
      <c r="N3300" t="n">
        <v>0</v>
      </c>
      <c r="O3300" t="n">
        <v>0</v>
      </c>
      <c r="P3300" t="n">
        <v>0</v>
      </c>
      <c r="Q3300" t="n">
        <v>0</v>
      </c>
      <c r="R3300" s="2" t="inlineStr"/>
    </row>
    <row r="3301" ht="15" customHeight="1">
      <c r="A3301" t="inlineStr">
        <is>
          <t>A 15251-2021</t>
        </is>
      </c>
      <c r="B3301" s="1" t="n">
        <v>44284</v>
      </c>
      <c r="C3301" s="1" t="n">
        <v>45210</v>
      </c>
      <c r="D3301" t="inlineStr">
        <is>
          <t>DALARNAS LÄN</t>
        </is>
      </c>
      <c r="E3301" t="inlineStr">
        <is>
          <t>ÄLVDALEN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15247-2021</t>
        </is>
      </c>
      <c r="B3302" s="1" t="n">
        <v>44284</v>
      </c>
      <c r="C3302" s="1" t="n">
        <v>45210</v>
      </c>
      <c r="D3302" t="inlineStr">
        <is>
          <t>DALARNAS LÄN</t>
        </is>
      </c>
      <c r="E3302" t="inlineStr">
        <is>
          <t>RÄTTVIK</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15786-2021</t>
        </is>
      </c>
      <c r="B3303" s="1" t="n">
        <v>44286</v>
      </c>
      <c r="C3303" s="1" t="n">
        <v>45210</v>
      </c>
      <c r="D3303" t="inlineStr">
        <is>
          <t>DALARNAS LÄN</t>
        </is>
      </c>
      <c r="E3303" t="inlineStr">
        <is>
          <t>BORLÄNGE</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15952-2021</t>
        </is>
      </c>
      <c r="B3304" s="1" t="n">
        <v>44286</v>
      </c>
      <c r="C3304" s="1" t="n">
        <v>45210</v>
      </c>
      <c r="D3304" t="inlineStr">
        <is>
          <t>DALARNAS LÄN</t>
        </is>
      </c>
      <c r="E3304" t="inlineStr">
        <is>
          <t>ÄLVDALEN</t>
        </is>
      </c>
      <c r="F3304" t="inlineStr">
        <is>
          <t>Övriga statliga verk och myndigheter</t>
        </is>
      </c>
      <c r="G3304" t="n">
        <v>6.6</v>
      </c>
      <c r="H3304" t="n">
        <v>0</v>
      </c>
      <c r="I3304" t="n">
        <v>0</v>
      </c>
      <c r="J3304" t="n">
        <v>0</v>
      </c>
      <c r="K3304" t="n">
        <v>0</v>
      </c>
      <c r="L3304" t="n">
        <v>0</v>
      </c>
      <c r="M3304" t="n">
        <v>0</v>
      </c>
      <c r="N3304" t="n">
        <v>0</v>
      </c>
      <c r="O3304" t="n">
        <v>0</v>
      </c>
      <c r="P3304" t="n">
        <v>0</v>
      </c>
      <c r="Q3304" t="n">
        <v>0</v>
      </c>
      <c r="R3304" s="2" t="inlineStr"/>
    </row>
    <row r="3305" ht="15" customHeight="1">
      <c r="A3305" t="inlineStr">
        <is>
          <t>A 15979-2021</t>
        </is>
      </c>
      <c r="B3305" s="1" t="n">
        <v>44287</v>
      </c>
      <c r="C3305" s="1" t="n">
        <v>45210</v>
      </c>
      <c r="D3305" t="inlineStr">
        <is>
          <t>DALARNAS LÄN</t>
        </is>
      </c>
      <c r="E3305" t="inlineStr">
        <is>
          <t>BORLÄNGE</t>
        </is>
      </c>
      <c r="F3305" t="inlineStr">
        <is>
          <t>Bergvik skog väst AB</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15914-2021</t>
        </is>
      </c>
      <c r="B3306" s="1" t="n">
        <v>44287</v>
      </c>
      <c r="C3306" s="1" t="n">
        <v>45210</v>
      </c>
      <c r="D3306" t="inlineStr">
        <is>
          <t>DALARNAS LÄN</t>
        </is>
      </c>
      <c r="E3306" t="inlineStr">
        <is>
          <t>ORSA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16035-2021</t>
        </is>
      </c>
      <c r="B3307" s="1" t="n">
        <v>44287</v>
      </c>
      <c r="C3307" s="1" t="n">
        <v>45210</v>
      </c>
      <c r="D3307" t="inlineStr">
        <is>
          <t>DALARNAS LÄN</t>
        </is>
      </c>
      <c r="E3307" t="inlineStr">
        <is>
          <t>ÄLVDALEN</t>
        </is>
      </c>
      <c r="F3307" t="inlineStr">
        <is>
          <t>Övriga statliga verk och myndigheter</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16108-2021</t>
        </is>
      </c>
      <c r="B3308" s="1" t="n">
        <v>44291</v>
      </c>
      <c r="C3308" s="1" t="n">
        <v>45210</v>
      </c>
      <c r="D3308" t="inlineStr">
        <is>
          <t>DALARNAS LÄN</t>
        </is>
      </c>
      <c r="E3308" t="inlineStr">
        <is>
          <t>LUDVIKA</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16129-2021</t>
        </is>
      </c>
      <c r="B3309" s="1" t="n">
        <v>44291</v>
      </c>
      <c r="C3309" s="1" t="n">
        <v>45210</v>
      </c>
      <c r="D3309" t="inlineStr">
        <is>
          <t>DALARNAS LÄN</t>
        </is>
      </c>
      <c r="E3309" t="inlineStr">
        <is>
          <t>SMEDJEBACKEN</t>
        </is>
      </c>
      <c r="G3309" t="n">
        <v>2.3</v>
      </c>
      <c r="H3309" t="n">
        <v>0</v>
      </c>
      <c r="I3309" t="n">
        <v>0</v>
      </c>
      <c r="J3309" t="n">
        <v>0</v>
      </c>
      <c r="K3309" t="n">
        <v>0</v>
      </c>
      <c r="L3309" t="n">
        <v>0</v>
      </c>
      <c r="M3309" t="n">
        <v>0</v>
      </c>
      <c r="N3309" t="n">
        <v>0</v>
      </c>
      <c r="O3309" t="n">
        <v>0</v>
      </c>
      <c r="P3309" t="n">
        <v>0</v>
      </c>
      <c r="Q3309" t="n">
        <v>0</v>
      </c>
      <c r="R3309" s="2" t="inlineStr"/>
    </row>
    <row r="3310" ht="15" customHeight="1">
      <c r="A3310" t="inlineStr">
        <is>
          <t>A 16270-2021</t>
        </is>
      </c>
      <c r="B3310" s="1" t="n">
        <v>44292</v>
      </c>
      <c r="C3310" s="1" t="n">
        <v>45210</v>
      </c>
      <c r="D3310" t="inlineStr">
        <is>
          <t>DALARNAS LÄN</t>
        </is>
      </c>
      <c r="E3310" t="inlineStr">
        <is>
          <t>ORSA</t>
        </is>
      </c>
      <c r="G3310" t="n">
        <v>8.4</v>
      </c>
      <c r="H3310" t="n">
        <v>0</v>
      </c>
      <c r="I3310" t="n">
        <v>0</v>
      </c>
      <c r="J3310" t="n">
        <v>0</v>
      </c>
      <c r="K3310" t="n">
        <v>0</v>
      </c>
      <c r="L3310" t="n">
        <v>0</v>
      </c>
      <c r="M3310" t="n">
        <v>0</v>
      </c>
      <c r="N3310" t="n">
        <v>0</v>
      </c>
      <c r="O3310" t="n">
        <v>0</v>
      </c>
      <c r="P3310" t="n">
        <v>0</v>
      </c>
      <c r="Q3310" t="n">
        <v>0</v>
      </c>
      <c r="R3310" s="2" t="inlineStr"/>
    </row>
    <row r="3311" ht="15" customHeight="1">
      <c r="A3311" t="inlineStr">
        <is>
          <t>A 16231-2021</t>
        </is>
      </c>
      <c r="B3311" s="1" t="n">
        <v>44292</v>
      </c>
      <c r="C3311" s="1" t="n">
        <v>45210</v>
      </c>
      <c r="D3311" t="inlineStr">
        <is>
          <t>DALARNAS LÄN</t>
        </is>
      </c>
      <c r="E3311" t="inlineStr">
        <is>
          <t>LEKSAND</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16262-2021</t>
        </is>
      </c>
      <c r="B3312" s="1" t="n">
        <v>44292</v>
      </c>
      <c r="C3312" s="1" t="n">
        <v>45210</v>
      </c>
      <c r="D3312" t="inlineStr">
        <is>
          <t>DALARNAS LÄN</t>
        </is>
      </c>
      <c r="E3312" t="inlineStr">
        <is>
          <t>ÄLVDALEN</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16187-2021</t>
        </is>
      </c>
      <c r="B3313" s="1" t="n">
        <v>44292</v>
      </c>
      <c r="C3313" s="1" t="n">
        <v>45210</v>
      </c>
      <c r="D3313" t="inlineStr">
        <is>
          <t>DALARNAS LÄN</t>
        </is>
      </c>
      <c r="E3313" t="inlineStr">
        <is>
          <t>LUDVIKA</t>
        </is>
      </c>
      <c r="F3313" t="inlineStr">
        <is>
          <t>Bergvik skog väst AB</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16377-2021</t>
        </is>
      </c>
      <c r="B3314" s="1" t="n">
        <v>44293</v>
      </c>
      <c r="C3314" s="1" t="n">
        <v>45210</v>
      </c>
      <c r="D3314" t="inlineStr">
        <is>
          <t>DALARNAS LÄN</t>
        </is>
      </c>
      <c r="E3314" t="inlineStr">
        <is>
          <t>BORLÄNGE</t>
        </is>
      </c>
      <c r="G3314" t="n">
        <v>1.6</v>
      </c>
      <c r="H3314" t="n">
        <v>0</v>
      </c>
      <c r="I3314" t="n">
        <v>0</v>
      </c>
      <c r="J3314" t="n">
        <v>0</v>
      </c>
      <c r="K3314" t="n">
        <v>0</v>
      </c>
      <c r="L3314" t="n">
        <v>0</v>
      </c>
      <c r="M3314" t="n">
        <v>0</v>
      </c>
      <c r="N3314" t="n">
        <v>0</v>
      </c>
      <c r="O3314" t="n">
        <v>0</v>
      </c>
      <c r="P3314" t="n">
        <v>0</v>
      </c>
      <c r="Q3314" t="n">
        <v>0</v>
      </c>
      <c r="R3314" s="2" t="inlineStr"/>
    </row>
    <row r="3315" ht="15" customHeight="1">
      <c r="A3315" t="inlineStr">
        <is>
          <t>A 16413-2021</t>
        </is>
      </c>
      <c r="B3315" s="1" t="n">
        <v>44293</v>
      </c>
      <c r="C3315" s="1" t="n">
        <v>45210</v>
      </c>
      <c r="D3315" t="inlineStr">
        <is>
          <t>DALARNAS LÄN</t>
        </is>
      </c>
      <c r="E3315" t="inlineStr">
        <is>
          <t>BORLÄNGE</t>
        </is>
      </c>
      <c r="F3315" t="inlineStr">
        <is>
          <t>Bergvik skog väst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16519-2021</t>
        </is>
      </c>
      <c r="B3316" s="1" t="n">
        <v>44293</v>
      </c>
      <c r="C3316" s="1" t="n">
        <v>45210</v>
      </c>
      <c r="D3316" t="inlineStr">
        <is>
          <t>DALARNAS LÄN</t>
        </is>
      </c>
      <c r="E3316" t="inlineStr">
        <is>
          <t>SÄTER</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16840-2021</t>
        </is>
      </c>
      <c r="B3317" s="1" t="n">
        <v>44295</v>
      </c>
      <c r="C3317" s="1" t="n">
        <v>45210</v>
      </c>
      <c r="D3317" t="inlineStr">
        <is>
          <t>DALARNAS LÄN</t>
        </is>
      </c>
      <c r="E3317" t="inlineStr">
        <is>
          <t>MORA</t>
        </is>
      </c>
      <c r="G3317" t="n">
        <v>11.5</v>
      </c>
      <c r="H3317" t="n">
        <v>0</v>
      </c>
      <c r="I3317" t="n">
        <v>0</v>
      </c>
      <c r="J3317" t="n">
        <v>0</v>
      </c>
      <c r="K3317" t="n">
        <v>0</v>
      </c>
      <c r="L3317" t="n">
        <v>0</v>
      </c>
      <c r="M3317" t="n">
        <v>0</v>
      </c>
      <c r="N3317" t="n">
        <v>0</v>
      </c>
      <c r="O3317" t="n">
        <v>0</v>
      </c>
      <c r="P3317" t="n">
        <v>0</v>
      </c>
      <c r="Q3317" t="n">
        <v>0</v>
      </c>
      <c r="R3317" s="2" t="inlineStr"/>
    </row>
    <row r="3318" ht="15" customHeight="1">
      <c r="A3318" t="inlineStr">
        <is>
          <t>A 17115-2021</t>
        </is>
      </c>
      <c r="B3318" s="1" t="n">
        <v>44298</v>
      </c>
      <c r="C3318" s="1" t="n">
        <v>45210</v>
      </c>
      <c r="D3318" t="inlineStr">
        <is>
          <t>DALARNAS LÄN</t>
        </is>
      </c>
      <c r="E3318" t="inlineStr">
        <is>
          <t>SMEDJEBACKEN</t>
        </is>
      </c>
      <c r="F3318" t="inlineStr">
        <is>
          <t>Sveaskog</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17204-2021</t>
        </is>
      </c>
      <c r="B3319" s="1" t="n">
        <v>44298</v>
      </c>
      <c r="C3319" s="1" t="n">
        <v>45210</v>
      </c>
      <c r="D3319" t="inlineStr">
        <is>
          <t>DALARNAS LÄN</t>
        </is>
      </c>
      <c r="E3319" t="inlineStr">
        <is>
          <t>BORLÄNGE</t>
        </is>
      </c>
      <c r="G3319" t="n">
        <v>16.7</v>
      </c>
      <c r="H3319" t="n">
        <v>0</v>
      </c>
      <c r="I3319" t="n">
        <v>0</v>
      </c>
      <c r="J3319" t="n">
        <v>0</v>
      </c>
      <c r="K3319" t="n">
        <v>0</v>
      </c>
      <c r="L3319" t="n">
        <v>0</v>
      </c>
      <c r="M3319" t="n">
        <v>0</v>
      </c>
      <c r="N3319" t="n">
        <v>0</v>
      </c>
      <c r="O3319" t="n">
        <v>0</v>
      </c>
      <c r="P3319" t="n">
        <v>0</v>
      </c>
      <c r="Q3319" t="n">
        <v>0</v>
      </c>
      <c r="R3319" s="2" t="inlineStr"/>
    </row>
    <row r="3320" ht="15" customHeight="1">
      <c r="A3320" t="inlineStr">
        <is>
          <t>A 17279-2021</t>
        </is>
      </c>
      <c r="B3320" s="1" t="n">
        <v>44298</v>
      </c>
      <c r="C3320" s="1" t="n">
        <v>45210</v>
      </c>
      <c r="D3320" t="inlineStr">
        <is>
          <t>DALARNAS LÄN</t>
        </is>
      </c>
      <c r="E3320" t="inlineStr">
        <is>
          <t>VANSBRO</t>
        </is>
      </c>
      <c r="F3320" t="inlineStr">
        <is>
          <t>Bergvik skog väst AB</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17112-2021</t>
        </is>
      </c>
      <c r="B3321" s="1" t="n">
        <v>44298</v>
      </c>
      <c r="C3321" s="1" t="n">
        <v>45210</v>
      </c>
      <c r="D3321" t="inlineStr">
        <is>
          <t>DALARNAS LÄN</t>
        </is>
      </c>
      <c r="E3321" t="inlineStr">
        <is>
          <t>SMEDJEBACKEN</t>
        </is>
      </c>
      <c r="F3321" t="inlineStr">
        <is>
          <t>Sveaskog</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17420-2021</t>
        </is>
      </c>
      <c r="B3322" s="1" t="n">
        <v>44299</v>
      </c>
      <c r="C3322" s="1" t="n">
        <v>45210</v>
      </c>
      <c r="D3322" t="inlineStr">
        <is>
          <t>DALARNAS LÄN</t>
        </is>
      </c>
      <c r="E3322" t="inlineStr">
        <is>
          <t>LUDVIKA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17572-2021</t>
        </is>
      </c>
      <c r="B3323" s="1" t="n">
        <v>44299</v>
      </c>
      <c r="C3323" s="1" t="n">
        <v>45210</v>
      </c>
      <c r="D3323" t="inlineStr">
        <is>
          <t>DALARNAS LÄN</t>
        </is>
      </c>
      <c r="E3323" t="inlineStr">
        <is>
          <t>BORLÄNGE</t>
        </is>
      </c>
      <c r="G3323" t="n">
        <v>4.5</v>
      </c>
      <c r="H3323" t="n">
        <v>0</v>
      </c>
      <c r="I3323" t="n">
        <v>0</v>
      </c>
      <c r="J3323" t="n">
        <v>0</v>
      </c>
      <c r="K3323" t="n">
        <v>0</v>
      </c>
      <c r="L3323" t="n">
        <v>0</v>
      </c>
      <c r="M3323" t="n">
        <v>0</v>
      </c>
      <c r="N3323" t="n">
        <v>0</v>
      </c>
      <c r="O3323" t="n">
        <v>0</v>
      </c>
      <c r="P3323" t="n">
        <v>0</v>
      </c>
      <c r="Q3323" t="n">
        <v>0</v>
      </c>
      <c r="R3323" s="2" t="inlineStr"/>
    </row>
    <row r="3324" ht="15" customHeight="1">
      <c r="A3324" t="inlineStr">
        <is>
          <t>A 17464-2021</t>
        </is>
      </c>
      <c r="B3324" s="1" t="n">
        <v>44299</v>
      </c>
      <c r="C3324" s="1" t="n">
        <v>45210</v>
      </c>
      <c r="D3324" t="inlineStr">
        <is>
          <t>DALARNAS LÄN</t>
        </is>
      </c>
      <c r="E3324" t="inlineStr">
        <is>
          <t>HEDEMORA</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17502-2021</t>
        </is>
      </c>
      <c r="B3325" s="1" t="n">
        <v>44299</v>
      </c>
      <c r="C3325" s="1" t="n">
        <v>45210</v>
      </c>
      <c r="D3325" t="inlineStr">
        <is>
          <t>DALARNAS LÄN</t>
        </is>
      </c>
      <c r="E3325" t="inlineStr">
        <is>
          <t>MALUNG-SÄLEN</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17615-2021</t>
        </is>
      </c>
      <c r="B3326" s="1" t="n">
        <v>44299</v>
      </c>
      <c r="C3326" s="1" t="n">
        <v>45210</v>
      </c>
      <c r="D3326" t="inlineStr">
        <is>
          <t>DALARNAS LÄN</t>
        </is>
      </c>
      <c r="E3326" t="inlineStr">
        <is>
          <t>LEKSAND</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17718-2021</t>
        </is>
      </c>
      <c r="B3327" s="1" t="n">
        <v>44300</v>
      </c>
      <c r="C3327" s="1" t="n">
        <v>45210</v>
      </c>
      <c r="D3327" t="inlineStr">
        <is>
          <t>DALARNAS LÄN</t>
        </is>
      </c>
      <c r="E3327" t="inlineStr">
        <is>
          <t>ORSA</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17791-2021</t>
        </is>
      </c>
      <c r="B3328" s="1" t="n">
        <v>44300</v>
      </c>
      <c r="C3328" s="1" t="n">
        <v>45210</v>
      </c>
      <c r="D3328" t="inlineStr">
        <is>
          <t>DALARNAS LÄN</t>
        </is>
      </c>
      <c r="E3328" t="inlineStr">
        <is>
          <t>FALUN</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17763-2021</t>
        </is>
      </c>
      <c r="B3329" s="1" t="n">
        <v>44300</v>
      </c>
      <c r="C3329" s="1" t="n">
        <v>45210</v>
      </c>
      <c r="D3329" t="inlineStr">
        <is>
          <t>DALARNAS LÄN</t>
        </is>
      </c>
      <c r="E3329" t="inlineStr">
        <is>
          <t>MALUNG-SÄLEN</t>
        </is>
      </c>
      <c r="G3329" t="n">
        <v>3</v>
      </c>
      <c r="H3329" t="n">
        <v>0</v>
      </c>
      <c r="I3329" t="n">
        <v>0</v>
      </c>
      <c r="J3329" t="n">
        <v>0</v>
      </c>
      <c r="K3329" t="n">
        <v>0</v>
      </c>
      <c r="L3329" t="n">
        <v>0</v>
      </c>
      <c r="M3329" t="n">
        <v>0</v>
      </c>
      <c r="N3329" t="n">
        <v>0</v>
      </c>
      <c r="O3329" t="n">
        <v>0</v>
      </c>
      <c r="P3329" t="n">
        <v>0</v>
      </c>
      <c r="Q3329" t="n">
        <v>0</v>
      </c>
      <c r="R3329" s="2" t="inlineStr"/>
    </row>
    <row r="3330" ht="15" customHeight="1">
      <c r="A3330" t="inlineStr">
        <is>
          <t>A 17775-2021</t>
        </is>
      </c>
      <c r="B3330" s="1" t="n">
        <v>44300</v>
      </c>
      <c r="C3330" s="1" t="n">
        <v>45210</v>
      </c>
      <c r="D3330" t="inlineStr">
        <is>
          <t>DALARNAS LÄN</t>
        </is>
      </c>
      <c r="E3330" t="inlineStr">
        <is>
          <t>RÄTTVIK</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17915-2021</t>
        </is>
      </c>
      <c r="B3331" s="1" t="n">
        <v>44301</v>
      </c>
      <c r="C3331" s="1" t="n">
        <v>45210</v>
      </c>
      <c r="D3331" t="inlineStr">
        <is>
          <t>DALARNAS LÄN</t>
        </is>
      </c>
      <c r="E3331" t="inlineStr">
        <is>
          <t>MORA</t>
        </is>
      </c>
      <c r="G3331" t="n">
        <v>4.4</v>
      </c>
      <c r="H3331" t="n">
        <v>0</v>
      </c>
      <c r="I3331" t="n">
        <v>0</v>
      </c>
      <c r="J3331" t="n">
        <v>0</v>
      </c>
      <c r="K3331" t="n">
        <v>0</v>
      </c>
      <c r="L3331" t="n">
        <v>0</v>
      </c>
      <c r="M3331" t="n">
        <v>0</v>
      </c>
      <c r="N3331" t="n">
        <v>0</v>
      </c>
      <c r="O3331" t="n">
        <v>0</v>
      </c>
      <c r="P3331" t="n">
        <v>0</v>
      </c>
      <c r="Q3331" t="n">
        <v>0</v>
      </c>
      <c r="R3331" s="2" t="inlineStr"/>
    </row>
    <row r="3332" ht="15" customHeight="1">
      <c r="A3332" t="inlineStr">
        <is>
          <t>A 17904-2021</t>
        </is>
      </c>
      <c r="B3332" s="1" t="n">
        <v>44301</v>
      </c>
      <c r="C3332" s="1" t="n">
        <v>45210</v>
      </c>
      <c r="D3332" t="inlineStr">
        <is>
          <t>DALARNAS LÄN</t>
        </is>
      </c>
      <c r="E3332" t="inlineStr">
        <is>
          <t>MORA</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18025-2021</t>
        </is>
      </c>
      <c r="B3333" s="1" t="n">
        <v>44302</v>
      </c>
      <c r="C3333" s="1" t="n">
        <v>45210</v>
      </c>
      <c r="D3333" t="inlineStr">
        <is>
          <t>DALARNAS LÄN</t>
        </is>
      </c>
      <c r="E3333" t="inlineStr">
        <is>
          <t>LUDVIKA</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18133-2021</t>
        </is>
      </c>
      <c r="B3334" s="1" t="n">
        <v>44302</v>
      </c>
      <c r="C3334" s="1" t="n">
        <v>45210</v>
      </c>
      <c r="D3334" t="inlineStr">
        <is>
          <t>DALARNAS LÄN</t>
        </is>
      </c>
      <c r="E3334" t="inlineStr">
        <is>
          <t>SMEDJEBACKEN</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18120-2021</t>
        </is>
      </c>
      <c r="B3335" s="1" t="n">
        <v>44302</v>
      </c>
      <c r="C3335" s="1" t="n">
        <v>45210</v>
      </c>
      <c r="D3335" t="inlineStr">
        <is>
          <t>DALARNAS LÄN</t>
        </is>
      </c>
      <c r="E3335" t="inlineStr">
        <is>
          <t>SMEDJEBACKEN</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18198-2021</t>
        </is>
      </c>
      <c r="B3336" s="1" t="n">
        <v>44302</v>
      </c>
      <c r="C3336" s="1" t="n">
        <v>45210</v>
      </c>
      <c r="D3336" t="inlineStr">
        <is>
          <t>DALARNAS LÄN</t>
        </is>
      </c>
      <c r="E3336" t="inlineStr">
        <is>
          <t>SMEDJEBACKEN</t>
        </is>
      </c>
      <c r="F3336" t="inlineStr">
        <is>
          <t>Kyrkan</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18393-2021</t>
        </is>
      </c>
      <c r="B3337" s="1" t="n">
        <v>44305</v>
      </c>
      <c r="C3337" s="1" t="n">
        <v>45210</v>
      </c>
      <c r="D3337" t="inlineStr">
        <is>
          <t>DALARNAS LÄN</t>
        </is>
      </c>
      <c r="E3337" t="inlineStr">
        <is>
          <t>BORLÄNGE</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18267-2021</t>
        </is>
      </c>
      <c r="B3338" s="1" t="n">
        <v>44305</v>
      </c>
      <c r="C3338" s="1" t="n">
        <v>45210</v>
      </c>
      <c r="D3338" t="inlineStr">
        <is>
          <t>DALARNAS LÄN</t>
        </is>
      </c>
      <c r="E3338" t="inlineStr">
        <is>
          <t>LEKSAND</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18369-2021</t>
        </is>
      </c>
      <c r="B3339" s="1" t="n">
        <v>44305</v>
      </c>
      <c r="C3339" s="1" t="n">
        <v>45210</v>
      </c>
      <c r="D3339" t="inlineStr">
        <is>
          <t>DALARNAS LÄN</t>
        </is>
      </c>
      <c r="E3339" t="inlineStr">
        <is>
          <t>SMEDJEBACKEN</t>
        </is>
      </c>
      <c r="F3339" t="inlineStr">
        <is>
          <t>Sveaskog</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18373-2021</t>
        </is>
      </c>
      <c r="B3340" s="1" t="n">
        <v>44305</v>
      </c>
      <c r="C3340" s="1" t="n">
        <v>45210</v>
      </c>
      <c r="D3340" t="inlineStr">
        <is>
          <t>DALARNAS LÄN</t>
        </is>
      </c>
      <c r="E3340" t="inlineStr">
        <is>
          <t>SMEDJEBACKEN</t>
        </is>
      </c>
      <c r="F3340" t="inlineStr">
        <is>
          <t>Sveaskog</t>
        </is>
      </c>
      <c r="G3340" t="n">
        <v>4.9</v>
      </c>
      <c r="H3340" t="n">
        <v>0</v>
      </c>
      <c r="I3340" t="n">
        <v>0</v>
      </c>
      <c r="J3340" t="n">
        <v>0</v>
      </c>
      <c r="K3340" t="n">
        <v>0</v>
      </c>
      <c r="L3340" t="n">
        <v>0</v>
      </c>
      <c r="M3340" t="n">
        <v>0</v>
      </c>
      <c r="N3340" t="n">
        <v>0</v>
      </c>
      <c r="O3340" t="n">
        <v>0</v>
      </c>
      <c r="P3340" t="n">
        <v>0</v>
      </c>
      <c r="Q3340" t="n">
        <v>0</v>
      </c>
      <c r="R3340" s="2" t="inlineStr"/>
    </row>
    <row r="3341" ht="15" customHeight="1">
      <c r="A3341" t="inlineStr">
        <is>
          <t>A 18291-2021</t>
        </is>
      </c>
      <c r="B3341" s="1" t="n">
        <v>44305</v>
      </c>
      <c r="C3341" s="1" t="n">
        <v>45210</v>
      </c>
      <c r="D3341" t="inlineStr">
        <is>
          <t>DALARNAS LÄN</t>
        </is>
      </c>
      <c r="E3341" t="inlineStr">
        <is>
          <t>AVESTA</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18505-2021</t>
        </is>
      </c>
      <c r="B3342" s="1" t="n">
        <v>44306</v>
      </c>
      <c r="C3342" s="1" t="n">
        <v>45210</v>
      </c>
      <c r="D3342" t="inlineStr">
        <is>
          <t>DALARNAS LÄN</t>
        </is>
      </c>
      <c r="E3342" t="inlineStr">
        <is>
          <t>SMEDJEBACKEN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18619-2021</t>
        </is>
      </c>
      <c r="B3343" s="1" t="n">
        <v>44306</v>
      </c>
      <c r="C3343" s="1" t="n">
        <v>45210</v>
      </c>
      <c r="D3343" t="inlineStr">
        <is>
          <t>DALARNAS LÄN</t>
        </is>
      </c>
      <c r="E3343" t="inlineStr">
        <is>
          <t>RÄTTVIK</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18637-2021</t>
        </is>
      </c>
      <c r="B3344" s="1" t="n">
        <v>44306</v>
      </c>
      <c r="C3344" s="1" t="n">
        <v>45210</v>
      </c>
      <c r="D3344" t="inlineStr">
        <is>
          <t>DALARNAS LÄN</t>
        </is>
      </c>
      <c r="E3344" t="inlineStr">
        <is>
          <t>MALUNG-SÄLEN</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18481-2021</t>
        </is>
      </c>
      <c r="B3345" s="1" t="n">
        <v>44306</v>
      </c>
      <c r="C3345" s="1" t="n">
        <v>45210</v>
      </c>
      <c r="D3345" t="inlineStr">
        <is>
          <t>DALARNAS LÄN</t>
        </is>
      </c>
      <c r="E3345" t="inlineStr">
        <is>
          <t>BORLÄNGE</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18829-2021</t>
        </is>
      </c>
      <c r="B3346" s="1" t="n">
        <v>44307</v>
      </c>
      <c r="C3346" s="1" t="n">
        <v>45210</v>
      </c>
      <c r="D3346" t="inlineStr">
        <is>
          <t>DALARNAS LÄN</t>
        </is>
      </c>
      <c r="E3346" t="inlineStr">
        <is>
          <t>VANSBRO</t>
        </is>
      </c>
      <c r="F3346" t="inlineStr">
        <is>
          <t>Kyrkan</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18706-2021</t>
        </is>
      </c>
      <c r="B3347" s="1" t="n">
        <v>44307</v>
      </c>
      <c r="C3347" s="1" t="n">
        <v>45210</v>
      </c>
      <c r="D3347" t="inlineStr">
        <is>
          <t>DALARNAS LÄN</t>
        </is>
      </c>
      <c r="E3347" t="inlineStr">
        <is>
          <t>LEKSAND</t>
        </is>
      </c>
      <c r="G3347" t="n">
        <v>3.4</v>
      </c>
      <c r="H3347" t="n">
        <v>0</v>
      </c>
      <c r="I3347" t="n">
        <v>0</v>
      </c>
      <c r="J3347" t="n">
        <v>0</v>
      </c>
      <c r="K3347" t="n">
        <v>0</v>
      </c>
      <c r="L3347" t="n">
        <v>0</v>
      </c>
      <c r="M3347" t="n">
        <v>0</v>
      </c>
      <c r="N3347" t="n">
        <v>0</v>
      </c>
      <c r="O3347" t="n">
        <v>0</v>
      </c>
      <c r="P3347" t="n">
        <v>0</v>
      </c>
      <c r="Q3347" t="n">
        <v>0</v>
      </c>
      <c r="R3347" s="2" t="inlineStr"/>
    </row>
    <row r="3348" ht="15" customHeight="1">
      <c r="A3348" t="inlineStr">
        <is>
          <t>A 18833-2021</t>
        </is>
      </c>
      <c r="B3348" s="1" t="n">
        <v>44307</v>
      </c>
      <c r="C3348" s="1" t="n">
        <v>45210</v>
      </c>
      <c r="D3348" t="inlineStr">
        <is>
          <t>DALARNAS LÄN</t>
        </is>
      </c>
      <c r="E3348" t="inlineStr">
        <is>
          <t>VANSBRO</t>
        </is>
      </c>
      <c r="F3348" t="inlineStr">
        <is>
          <t>Bergvik skog väst AB</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18708-2021</t>
        </is>
      </c>
      <c r="B3349" s="1" t="n">
        <v>44307</v>
      </c>
      <c r="C3349" s="1" t="n">
        <v>45210</v>
      </c>
      <c r="D3349" t="inlineStr">
        <is>
          <t>DALARNAS LÄN</t>
        </is>
      </c>
      <c r="E3349" t="inlineStr">
        <is>
          <t>ORSA</t>
        </is>
      </c>
      <c r="G3349" t="n">
        <v>2.8</v>
      </c>
      <c r="H3349" t="n">
        <v>0</v>
      </c>
      <c r="I3349" t="n">
        <v>0</v>
      </c>
      <c r="J3349" t="n">
        <v>0</v>
      </c>
      <c r="K3349" t="n">
        <v>0</v>
      </c>
      <c r="L3349" t="n">
        <v>0</v>
      </c>
      <c r="M3349" t="n">
        <v>0</v>
      </c>
      <c r="N3349" t="n">
        <v>0</v>
      </c>
      <c r="O3349" t="n">
        <v>0</v>
      </c>
      <c r="P3349" t="n">
        <v>0</v>
      </c>
      <c r="Q3349" t="n">
        <v>0</v>
      </c>
      <c r="R3349" s="2" t="inlineStr"/>
    </row>
    <row r="3350" ht="15" customHeight="1">
      <c r="A3350" t="inlineStr">
        <is>
          <t>A 18749-2021</t>
        </is>
      </c>
      <c r="B3350" s="1" t="n">
        <v>44307</v>
      </c>
      <c r="C3350" s="1" t="n">
        <v>45210</v>
      </c>
      <c r="D3350" t="inlineStr">
        <is>
          <t>DALARNAS LÄN</t>
        </is>
      </c>
      <c r="E3350" t="inlineStr">
        <is>
          <t>SMEDJEBACKEN</t>
        </is>
      </c>
      <c r="F3350" t="inlineStr">
        <is>
          <t>Övriga Aktiebolag</t>
        </is>
      </c>
      <c r="G3350" t="n">
        <v>10.4</v>
      </c>
      <c r="H3350" t="n">
        <v>0</v>
      </c>
      <c r="I3350" t="n">
        <v>0</v>
      </c>
      <c r="J3350" t="n">
        <v>0</v>
      </c>
      <c r="K3350" t="n">
        <v>0</v>
      </c>
      <c r="L3350" t="n">
        <v>0</v>
      </c>
      <c r="M3350" t="n">
        <v>0</v>
      </c>
      <c r="N3350" t="n">
        <v>0</v>
      </c>
      <c r="O3350" t="n">
        <v>0</v>
      </c>
      <c r="P3350" t="n">
        <v>0</v>
      </c>
      <c r="Q3350" t="n">
        <v>0</v>
      </c>
      <c r="R3350" s="2" t="inlineStr"/>
    </row>
    <row r="3351" ht="15" customHeight="1">
      <c r="A3351" t="inlineStr">
        <is>
          <t>A 18743-2021</t>
        </is>
      </c>
      <c r="B3351" s="1" t="n">
        <v>44307</v>
      </c>
      <c r="C3351" s="1" t="n">
        <v>45210</v>
      </c>
      <c r="D3351" t="inlineStr">
        <is>
          <t>DALARNAS LÄN</t>
        </is>
      </c>
      <c r="E3351" t="inlineStr">
        <is>
          <t>RÄTTVIK</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19127-2021</t>
        </is>
      </c>
      <c r="B3352" s="1" t="n">
        <v>44308</v>
      </c>
      <c r="C3352" s="1" t="n">
        <v>45210</v>
      </c>
      <c r="D3352" t="inlineStr">
        <is>
          <t>DALARNAS LÄN</t>
        </is>
      </c>
      <c r="E3352" t="inlineStr">
        <is>
          <t>FALUN</t>
        </is>
      </c>
      <c r="F3352" t="inlineStr">
        <is>
          <t>Bergvik skog väst AB</t>
        </is>
      </c>
      <c r="G3352" t="n">
        <v>11.6</v>
      </c>
      <c r="H3352" t="n">
        <v>0</v>
      </c>
      <c r="I3352" t="n">
        <v>0</v>
      </c>
      <c r="J3352" t="n">
        <v>0</v>
      </c>
      <c r="K3352" t="n">
        <v>0</v>
      </c>
      <c r="L3352" t="n">
        <v>0</v>
      </c>
      <c r="M3352" t="n">
        <v>0</v>
      </c>
      <c r="N3352" t="n">
        <v>0</v>
      </c>
      <c r="O3352" t="n">
        <v>0</v>
      </c>
      <c r="P3352" t="n">
        <v>0</v>
      </c>
      <c r="Q3352" t="n">
        <v>0</v>
      </c>
      <c r="R3352" s="2" t="inlineStr"/>
    </row>
    <row r="3353" ht="15" customHeight="1">
      <c r="A3353" t="inlineStr">
        <is>
          <t>A 19154-2021</t>
        </is>
      </c>
      <c r="B3353" s="1" t="n">
        <v>44308</v>
      </c>
      <c r="C3353" s="1" t="n">
        <v>45210</v>
      </c>
      <c r="D3353" t="inlineStr">
        <is>
          <t>DALARNAS LÄN</t>
        </is>
      </c>
      <c r="E3353" t="inlineStr">
        <is>
          <t>VANSBRO</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19096-2021</t>
        </is>
      </c>
      <c r="B3354" s="1" t="n">
        <v>44308</v>
      </c>
      <c r="C3354" s="1" t="n">
        <v>45210</v>
      </c>
      <c r="D3354" t="inlineStr">
        <is>
          <t>DALARNAS LÄN</t>
        </is>
      </c>
      <c r="E3354" t="inlineStr">
        <is>
          <t>BORLÄNGE</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19125-2021</t>
        </is>
      </c>
      <c r="B3355" s="1" t="n">
        <v>44308</v>
      </c>
      <c r="C3355" s="1" t="n">
        <v>45210</v>
      </c>
      <c r="D3355" t="inlineStr">
        <is>
          <t>DALARNAS LÄN</t>
        </is>
      </c>
      <c r="E3355" t="inlineStr">
        <is>
          <t>SÄTER</t>
        </is>
      </c>
      <c r="F3355" t="inlineStr">
        <is>
          <t>Bergvik skog väst AB</t>
        </is>
      </c>
      <c r="G3355" t="n">
        <v>2.4</v>
      </c>
      <c r="H3355" t="n">
        <v>0</v>
      </c>
      <c r="I3355" t="n">
        <v>0</v>
      </c>
      <c r="J3355" t="n">
        <v>0</v>
      </c>
      <c r="K3355" t="n">
        <v>0</v>
      </c>
      <c r="L3355" t="n">
        <v>0</v>
      </c>
      <c r="M3355" t="n">
        <v>0</v>
      </c>
      <c r="N3355" t="n">
        <v>0</v>
      </c>
      <c r="O3355" t="n">
        <v>0</v>
      </c>
      <c r="P3355" t="n">
        <v>0</v>
      </c>
      <c r="Q3355" t="n">
        <v>0</v>
      </c>
      <c r="R3355" s="2" t="inlineStr"/>
    </row>
    <row r="3356" ht="15" customHeight="1">
      <c r="A3356" t="inlineStr">
        <is>
          <t>A 18961-2021</t>
        </is>
      </c>
      <c r="B3356" s="1" t="n">
        <v>44308</v>
      </c>
      <c r="C3356" s="1" t="n">
        <v>45210</v>
      </c>
      <c r="D3356" t="inlineStr">
        <is>
          <t>DALARNAS LÄN</t>
        </is>
      </c>
      <c r="E3356" t="inlineStr">
        <is>
          <t>ÄLVDALEN</t>
        </is>
      </c>
      <c r="F3356" t="inlineStr">
        <is>
          <t>Övriga statliga verk och myndigheter</t>
        </is>
      </c>
      <c r="G3356" t="n">
        <v>17.6</v>
      </c>
      <c r="H3356" t="n">
        <v>0</v>
      </c>
      <c r="I3356" t="n">
        <v>0</v>
      </c>
      <c r="J3356" t="n">
        <v>0</v>
      </c>
      <c r="K3356" t="n">
        <v>0</v>
      </c>
      <c r="L3356" t="n">
        <v>0</v>
      </c>
      <c r="M3356" t="n">
        <v>0</v>
      </c>
      <c r="N3356" t="n">
        <v>0</v>
      </c>
      <c r="O3356" t="n">
        <v>0</v>
      </c>
      <c r="P3356" t="n">
        <v>0</v>
      </c>
      <c r="Q3356" t="n">
        <v>0</v>
      </c>
      <c r="R3356" s="2" t="inlineStr"/>
    </row>
    <row r="3357" ht="15" customHeight="1">
      <c r="A3357" t="inlineStr">
        <is>
          <t>A 19140-2021</t>
        </is>
      </c>
      <c r="B3357" s="1" t="n">
        <v>44308</v>
      </c>
      <c r="C3357" s="1" t="n">
        <v>45210</v>
      </c>
      <c r="D3357" t="inlineStr">
        <is>
          <t>DALARNAS LÄN</t>
        </is>
      </c>
      <c r="E3357" t="inlineStr">
        <is>
          <t>FALUN</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19313-2021</t>
        </is>
      </c>
      <c r="B3358" s="1" t="n">
        <v>44309</v>
      </c>
      <c r="C3358" s="1" t="n">
        <v>45210</v>
      </c>
      <c r="D3358" t="inlineStr">
        <is>
          <t>DALARNAS LÄN</t>
        </is>
      </c>
      <c r="E3358" t="inlineStr">
        <is>
          <t>ÄLVDALEN</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19759-2021</t>
        </is>
      </c>
      <c r="B3359" s="1" t="n">
        <v>44309</v>
      </c>
      <c r="C3359" s="1" t="n">
        <v>45210</v>
      </c>
      <c r="D3359" t="inlineStr">
        <is>
          <t>DALARNAS LÄN</t>
        </is>
      </c>
      <c r="E3359" t="inlineStr">
        <is>
          <t>ÄLVDALEN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19766-2021</t>
        </is>
      </c>
      <c r="B3360" s="1" t="n">
        <v>44309</v>
      </c>
      <c r="C3360" s="1" t="n">
        <v>45210</v>
      </c>
      <c r="D3360" t="inlineStr">
        <is>
          <t>DALARNAS LÄN</t>
        </is>
      </c>
      <c r="E3360" t="inlineStr">
        <is>
          <t>ÄLVDALEN</t>
        </is>
      </c>
      <c r="G3360" t="n">
        <v>8.9</v>
      </c>
      <c r="H3360" t="n">
        <v>0</v>
      </c>
      <c r="I3360" t="n">
        <v>0</v>
      </c>
      <c r="J3360" t="n">
        <v>0</v>
      </c>
      <c r="K3360" t="n">
        <v>0</v>
      </c>
      <c r="L3360" t="n">
        <v>0</v>
      </c>
      <c r="M3360" t="n">
        <v>0</v>
      </c>
      <c r="N3360" t="n">
        <v>0</v>
      </c>
      <c r="O3360" t="n">
        <v>0</v>
      </c>
      <c r="P3360" t="n">
        <v>0</v>
      </c>
      <c r="Q3360" t="n">
        <v>0</v>
      </c>
      <c r="R3360" s="2" t="inlineStr"/>
    </row>
    <row r="3361" ht="15" customHeight="1">
      <c r="A3361" t="inlineStr">
        <is>
          <t>A 19797-2021</t>
        </is>
      </c>
      <c r="B3361" s="1" t="n">
        <v>44309</v>
      </c>
      <c r="C3361" s="1" t="n">
        <v>45210</v>
      </c>
      <c r="D3361" t="inlineStr">
        <is>
          <t>DALARNAS LÄN</t>
        </is>
      </c>
      <c r="E3361" t="inlineStr">
        <is>
          <t>AVESTA</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19271-2021</t>
        </is>
      </c>
      <c r="B3362" s="1" t="n">
        <v>44309</v>
      </c>
      <c r="C3362" s="1" t="n">
        <v>45210</v>
      </c>
      <c r="D3362" t="inlineStr">
        <is>
          <t>DALARNAS LÄN</t>
        </is>
      </c>
      <c r="E3362" t="inlineStr">
        <is>
          <t>LEKSAND</t>
        </is>
      </c>
      <c r="F3362" t="inlineStr">
        <is>
          <t>Bergvik skog väst AB</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19761-2021</t>
        </is>
      </c>
      <c r="B3363" s="1" t="n">
        <v>44309</v>
      </c>
      <c r="C3363" s="1" t="n">
        <v>45210</v>
      </c>
      <c r="D3363" t="inlineStr">
        <is>
          <t>DALARNAS LÄN</t>
        </is>
      </c>
      <c r="E3363" t="inlineStr">
        <is>
          <t>ÄLVDALEN</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19274-2021</t>
        </is>
      </c>
      <c r="B3364" s="1" t="n">
        <v>44309</v>
      </c>
      <c r="C3364" s="1" t="n">
        <v>45210</v>
      </c>
      <c r="D3364" t="inlineStr">
        <is>
          <t>DALARNAS LÄN</t>
        </is>
      </c>
      <c r="E3364" t="inlineStr">
        <is>
          <t>FALUN</t>
        </is>
      </c>
      <c r="F3364" t="inlineStr">
        <is>
          <t>Bergvik skog väst AB</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19383-2021</t>
        </is>
      </c>
      <c r="B3365" s="1" t="n">
        <v>44309</v>
      </c>
      <c r="C3365" s="1" t="n">
        <v>45210</v>
      </c>
      <c r="D3365" t="inlineStr">
        <is>
          <t>DALARNAS LÄN</t>
        </is>
      </c>
      <c r="E3365" t="inlineStr">
        <is>
          <t>MORA</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19763-2021</t>
        </is>
      </c>
      <c r="B3366" s="1" t="n">
        <v>44309</v>
      </c>
      <c r="C3366" s="1" t="n">
        <v>45210</v>
      </c>
      <c r="D3366" t="inlineStr">
        <is>
          <t>DALARNAS LÄN</t>
        </is>
      </c>
      <c r="E3366" t="inlineStr">
        <is>
          <t>ÄLVDALEN</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19309-2021</t>
        </is>
      </c>
      <c r="B3367" s="1" t="n">
        <v>44309</v>
      </c>
      <c r="C3367" s="1" t="n">
        <v>45210</v>
      </c>
      <c r="D3367" t="inlineStr">
        <is>
          <t>DALARNAS LÄN</t>
        </is>
      </c>
      <c r="E3367" t="inlineStr">
        <is>
          <t>ÄLVDALEN</t>
        </is>
      </c>
      <c r="G3367" t="n">
        <v>3.4</v>
      </c>
      <c r="H3367" t="n">
        <v>0</v>
      </c>
      <c r="I3367" t="n">
        <v>0</v>
      </c>
      <c r="J3367" t="n">
        <v>0</v>
      </c>
      <c r="K3367" t="n">
        <v>0</v>
      </c>
      <c r="L3367" t="n">
        <v>0</v>
      </c>
      <c r="M3367" t="n">
        <v>0</v>
      </c>
      <c r="N3367" t="n">
        <v>0</v>
      </c>
      <c r="O3367" t="n">
        <v>0</v>
      </c>
      <c r="P3367" t="n">
        <v>0</v>
      </c>
      <c r="Q3367" t="n">
        <v>0</v>
      </c>
      <c r="R3367" s="2" t="inlineStr"/>
    </row>
    <row r="3368" ht="15" customHeight="1">
      <c r="A3368" t="inlineStr">
        <is>
          <t>A 19765-2021</t>
        </is>
      </c>
      <c r="B3368" s="1" t="n">
        <v>44309</v>
      </c>
      <c r="C3368" s="1" t="n">
        <v>45210</v>
      </c>
      <c r="D3368" t="inlineStr">
        <is>
          <t>DALARNAS LÄN</t>
        </is>
      </c>
      <c r="E3368" t="inlineStr">
        <is>
          <t>ÄLVDALEN</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19677-2021</t>
        </is>
      </c>
      <c r="B3369" s="1" t="n">
        <v>44312</v>
      </c>
      <c r="C3369" s="1" t="n">
        <v>45210</v>
      </c>
      <c r="D3369" t="inlineStr">
        <is>
          <t>DALARNAS LÄN</t>
        </is>
      </c>
      <c r="E3369" t="inlineStr">
        <is>
          <t>LEKSAND</t>
        </is>
      </c>
      <c r="F3369" t="inlineStr">
        <is>
          <t>Bergvik skog väst AB</t>
        </is>
      </c>
      <c r="G3369" t="n">
        <v>3.1</v>
      </c>
      <c r="H3369" t="n">
        <v>0</v>
      </c>
      <c r="I3369" t="n">
        <v>0</v>
      </c>
      <c r="J3369" t="n">
        <v>0</v>
      </c>
      <c r="K3369" t="n">
        <v>0</v>
      </c>
      <c r="L3369" t="n">
        <v>0</v>
      </c>
      <c r="M3369" t="n">
        <v>0</v>
      </c>
      <c r="N3369" t="n">
        <v>0</v>
      </c>
      <c r="O3369" t="n">
        <v>0</v>
      </c>
      <c r="P3369" t="n">
        <v>0</v>
      </c>
      <c r="Q3369" t="n">
        <v>0</v>
      </c>
      <c r="R3369" s="2" t="inlineStr"/>
    </row>
    <row r="3370" ht="15" customHeight="1">
      <c r="A3370" t="inlineStr">
        <is>
          <t>A 19768-2021</t>
        </is>
      </c>
      <c r="B3370" s="1" t="n">
        <v>44312</v>
      </c>
      <c r="C3370" s="1" t="n">
        <v>45210</v>
      </c>
      <c r="D3370" t="inlineStr">
        <is>
          <t>DALARNAS LÄN</t>
        </is>
      </c>
      <c r="E3370" t="inlineStr">
        <is>
          <t>MALUNG-SÄLEN</t>
        </is>
      </c>
      <c r="G3370" t="n">
        <v>0.2</v>
      </c>
      <c r="H3370" t="n">
        <v>0</v>
      </c>
      <c r="I3370" t="n">
        <v>0</v>
      </c>
      <c r="J3370" t="n">
        <v>0</v>
      </c>
      <c r="K3370" t="n">
        <v>0</v>
      </c>
      <c r="L3370" t="n">
        <v>0</v>
      </c>
      <c r="M3370" t="n">
        <v>0</v>
      </c>
      <c r="N3370" t="n">
        <v>0</v>
      </c>
      <c r="O3370" t="n">
        <v>0</v>
      </c>
      <c r="P3370" t="n">
        <v>0</v>
      </c>
      <c r="Q3370" t="n">
        <v>0</v>
      </c>
      <c r="R3370" s="2" t="inlineStr"/>
    </row>
    <row r="3371" ht="15" customHeight="1">
      <c r="A3371" t="inlineStr">
        <is>
          <t>A 19867-2021</t>
        </is>
      </c>
      <c r="B3371" s="1" t="n">
        <v>44313</v>
      </c>
      <c r="C3371" s="1" t="n">
        <v>45210</v>
      </c>
      <c r="D3371" t="inlineStr">
        <is>
          <t>DALARNAS LÄN</t>
        </is>
      </c>
      <c r="E3371" t="inlineStr">
        <is>
          <t>AVESTA</t>
        </is>
      </c>
      <c r="G3371" t="n">
        <v>11.4</v>
      </c>
      <c r="H3371" t="n">
        <v>0</v>
      </c>
      <c r="I3371" t="n">
        <v>0</v>
      </c>
      <c r="J3371" t="n">
        <v>0</v>
      </c>
      <c r="K3371" t="n">
        <v>0</v>
      </c>
      <c r="L3371" t="n">
        <v>0</v>
      </c>
      <c r="M3371" t="n">
        <v>0</v>
      </c>
      <c r="N3371" t="n">
        <v>0</v>
      </c>
      <c r="O3371" t="n">
        <v>0</v>
      </c>
      <c r="P3371" t="n">
        <v>0</v>
      </c>
      <c r="Q3371" t="n">
        <v>0</v>
      </c>
      <c r="R3371" s="2" t="inlineStr"/>
    </row>
    <row r="3372" ht="15" customHeight="1">
      <c r="A3372" t="inlineStr">
        <is>
          <t>A 20141-2021</t>
        </is>
      </c>
      <c r="B3372" s="1" t="n">
        <v>44314</v>
      </c>
      <c r="C3372" s="1" t="n">
        <v>45210</v>
      </c>
      <c r="D3372" t="inlineStr">
        <is>
          <t>DALARNAS LÄN</t>
        </is>
      </c>
      <c r="E3372" t="inlineStr">
        <is>
          <t>FALUN</t>
        </is>
      </c>
      <c r="F3372" t="inlineStr">
        <is>
          <t>Bergvik skog väst AB</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20050-2021</t>
        </is>
      </c>
      <c r="B3373" s="1" t="n">
        <v>44314</v>
      </c>
      <c r="C3373" s="1" t="n">
        <v>45210</v>
      </c>
      <c r="D3373" t="inlineStr">
        <is>
          <t>DALARNAS LÄN</t>
        </is>
      </c>
      <c r="E3373" t="inlineStr">
        <is>
          <t>ÄLVDALEN</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20162-2021</t>
        </is>
      </c>
      <c r="B3374" s="1" t="n">
        <v>44314</v>
      </c>
      <c r="C3374" s="1" t="n">
        <v>45210</v>
      </c>
      <c r="D3374" t="inlineStr">
        <is>
          <t>DALARNAS LÄN</t>
        </is>
      </c>
      <c r="E3374" t="inlineStr">
        <is>
          <t>ÄLVDALEN</t>
        </is>
      </c>
      <c r="G3374" t="n">
        <v>3.9</v>
      </c>
      <c r="H3374" t="n">
        <v>0</v>
      </c>
      <c r="I3374" t="n">
        <v>0</v>
      </c>
      <c r="J3374" t="n">
        <v>0</v>
      </c>
      <c r="K3374" t="n">
        <v>0</v>
      </c>
      <c r="L3374" t="n">
        <v>0</v>
      </c>
      <c r="M3374" t="n">
        <v>0</v>
      </c>
      <c r="N3374" t="n">
        <v>0</v>
      </c>
      <c r="O3374" t="n">
        <v>0</v>
      </c>
      <c r="P3374" t="n">
        <v>0</v>
      </c>
      <c r="Q3374" t="n">
        <v>0</v>
      </c>
      <c r="R3374" s="2" t="inlineStr"/>
    </row>
    <row r="3375" ht="15" customHeight="1">
      <c r="A3375" t="inlineStr">
        <is>
          <t>A 20427-2021</t>
        </is>
      </c>
      <c r="B3375" s="1" t="n">
        <v>44315</v>
      </c>
      <c r="C3375" s="1" t="n">
        <v>45210</v>
      </c>
      <c r="D3375" t="inlineStr">
        <is>
          <t>DALARNAS LÄN</t>
        </is>
      </c>
      <c r="E3375" t="inlineStr">
        <is>
          <t>MALUNG-SÄLEN</t>
        </is>
      </c>
      <c r="F3375" t="inlineStr">
        <is>
          <t>Bergvik skog väst AB</t>
        </is>
      </c>
      <c r="G3375" t="n">
        <v>13.1</v>
      </c>
      <c r="H3375" t="n">
        <v>0</v>
      </c>
      <c r="I3375" t="n">
        <v>0</v>
      </c>
      <c r="J3375" t="n">
        <v>0</v>
      </c>
      <c r="K3375" t="n">
        <v>0</v>
      </c>
      <c r="L3375" t="n">
        <v>0</v>
      </c>
      <c r="M3375" t="n">
        <v>0</v>
      </c>
      <c r="N3375" t="n">
        <v>0</v>
      </c>
      <c r="O3375" t="n">
        <v>0</v>
      </c>
      <c r="P3375" t="n">
        <v>0</v>
      </c>
      <c r="Q3375" t="n">
        <v>0</v>
      </c>
      <c r="R3375" s="2" t="inlineStr"/>
    </row>
    <row r="3376" ht="15" customHeight="1">
      <c r="A3376" t="inlineStr">
        <is>
          <t>A 20790-2021</t>
        </is>
      </c>
      <c r="B3376" s="1" t="n">
        <v>44316</v>
      </c>
      <c r="C3376" s="1" t="n">
        <v>45210</v>
      </c>
      <c r="D3376" t="inlineStr">
        <is>
          <t>DALARNAS LÄN</t>
        </is>
      </c>
      <c r="E3376" t="inlineStr">
        <is>
          <t>SMEDJEBACKEN</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20598-2021</t>
        </is>
      </c>
      <c r="B3377" s="1" t="n">
        <v>44316</v>
      </c>
      <c r="C3377" s="1" t="n">
        <v>45210</v>
      </c>
      <c r="D3377" t="inlineStr">
        <is>
          <t>DALARNAS LÄN</t>
        </is>
      </c>
      <c r="E3377" t="inlineStr">
        <is>
          <t>LUDVIKA</t>
        </is>
      </c>
      <c r="F3377" t="inlineStr">
        <is>
          <t>Naturvårdsverket</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20599-2021</t>
        </is>
      </c>
      <c r="B3378" s="1" t="n">
        <v>44316</v>
      </c>
      <c r="C3378" s="1" t="n">
        <v>45210</v>
      </c>
      <c r="D3378" t="inlineStr">
        <is>
          <t>DALARNAS LÄN</t>
        </is>
      </c>
      <c r="E3378" t="inlineStr">
        <is>
          <t>LUDVIKA</t>
        </is>
      </c>
      <c r="F3378" t="inlineStr">
        <is>
          <t>Naturvårdsverket</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20690-2021</t>
        </is>
      </c>
      <c r="B3379" s="1" t="n">
        <v>44316</v>
      </c>
      <c r="C3379" s="1" t="n">
        <v>45210</v>
      </c>
      <c r="D3379" t="inlineStr">
        <is>
          <t>DALARNAS LÄN</t>
        </is>
      </c>
      <c r="E3379" t="inlineStr">
        <is>
          <t>LUDVIKA</t>
        </is>
      </c>
      <c r="F3379" t="inlineStr">
        <is>
          <t>Naturvårdsverket</t>
        </is>
      </c>
      <c r="G3379" t="n">
        <v>9.300000000000001</v>
      </c>
      <c r="H3379" t="n">
        <v>0</v>
      </c>
      <c r="I3379" t="n">
        <v>0</v>
      </c>
      <c r="J3379" t="n">
        <v>0</v>
      </c>
      <c r="K3379" t="n">
        <v>0</v>
      </c>
      <c r="L3379" t="n">
        <v>0</v>
      </c>
      <c r="M3379" t="n">
        <v>0</v>
      </c>
      <c r="N3379" t="n">
        <v>0</v>
      </c>
      <c r="O3379" t="n">
        <v>0</v>
      </c>
      <c r="P3379" t="n">
        <v>0</v>
      </c>
      <c r="Q3379" t="n">
        <v>0</v>
      </c>
      <c r="R3379" s="2" t="inlineStr"/>
    </row>
    <row r="3380" ht="15" customHeight="1">
      <c r="A3380" t="inlineStr">
        <is>
          <t>A 20779-2021</t>
        </is>
      </c>
      <c r="B3380" s="1" t="n">
        <v>44316</v>
      </c>
      <c r="C3380" s="1" t="n">
        <v>45210</v>
      </c>
      <c r="D3380" t="inlineStr">
        <is>
          <t>DALARNAS LÄN</t>
        </is>
      </c>
      <c r="E3380" t="inlineStr">
        <is>
          <t>SMEDJEBACKEN</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20596-2021</t>
        </is>
      </c>
      <c r="B3381" s="1" t="n">
        <v>44316</v>
      </c>
      <c r="C3381" s="1" t="n">
        <v>45210</v>
      </c>
      <c r="D3381" t="inlineStr">
        <is>
          <t>DALARNAS LÄN</t>
        </is>
      </c>
      <c r="E3381" t="inlineStr">
        <is>
          <t>LUDVIKA</t>
        </is>
      </c>
      <c r="F3381" t="inlineStr">
        <is>
          <t>Naturvårdsverket</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20700-2021</t>
        </is>
      </c>
      <c r="B3382" s="1" t="n">
        <v>44316</v>
      </c>
      <c r="C3382" s="1" t="n">
        <v>45210</v>
      </c>
      <c r="D3382" t="inlineStr">
        <is>
          <t>DALARNAS LÄN</t>
        </is>
      </c>
      <c r="E3382" t="inlineStr">
        <is>
          <t>LUDVIKA</t>
        </is>
      </c>
      <c r="F3382" t="inlineStr">
        <is>
          <t>Naturvårdsverket</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21132-2021</t>
        </is>
      </c>
      <c r="B3383" s="1" t="n">
        <v>44319</v>
      </c>
      <c r="C3383" s="1" t="n">
        <v>45210</v>
      </c>
      <c r="D3383" t="inlineStr">
        <is>
          <t>DALARNAS LÄN</t>
        </is>
      </c>
      <c r="E3383" t="inlineStr">
        <is>
          <t>LEKSAND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20865-2021</t>
        </is>
      </c>
      <c r="B3384" s="1" t="n">
        <v>44319</v>
      </c>
      <c r="C3384" s="1" t="n">
        <v>45210</v>
      </c>
      <c r="D3384" t="inlineStr">
        <is>
          <t>DALARNAS LÄN</t>
        </is>
      </c>
      <c r="E3384" t="inlineStr">
        <is>
          <t>BORLÄNGE</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20990-2021</t>
        </is>
      </c>
      <c r="B3385" s="1" t="n">
        <v>44319</v>
      </c>
      <c r="C3385" s="1" t="n">
        <v>45210</v>
      </c>
      <c r="D3385" t="inlineStr">
        <is>
          <t>DALARNAS LÄN</t>
        </is>
      </c>
      <c r="E3385" t="inlineStr">
        <is>
          <t>SMEDJEBACKEN</t>
        </is>
      </c>
      <c r="F3385" t="inlineStr">
        <is>
          <t>Kyrkan</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21309-2021</t>
        </is>
      </c>
      <c r="B3386" s="1" t="n">
        <v>44320</v>
      </c>
      <c r="C3386" s="1" t="n">
        <v>45210</v>
      </c>
      <c r="D3386" t="inlineStr">
        <is>
          <t>DALARNAS LÄN</t>
        </is>
      </c>
      <c r="E3386" t="inlineStr">
        <is>
          <t>GAGNEF</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21171-2021</t>
        </is>
      </c>
      <c r="B3387" s="1" t="n">
        <v>44320</v>
      </c>
      <c r="C3387" s="1" t="n">
        <v>45210</v>
      </c>
      <c r="D3387" t="inlineStr">
        <is>
          <t>DALARNAS LÄN</t>
        </is>
      </c>
      <c r="E3387" t="inlineStr">
        <is>
          <t>HEDEMORA</t>
        </is>
      </c>
      <c r="G3387" t="n">
        <v>2.8</v>
      </c>
      <c r="H3387" t="n">
        <v>0</v>
      </c>
      <c r="I3387" t="n">
        <v>0</v>
      </c>
      <c r="J3387" t="n">
        <v>0</v>
      </c>
      <c r="K3387" t="n">
        <v>0</v>
      </c>
      <c r="L3387" t="n">
        <v>0</v>
      </c>
      <c r="M3387" t="n">
        <v>0</v>
      </c>
      <c r="N3387" t="n">
        <v>0</v>
      </c>
      <c r="O3387" t="n">
        <v>0</v>
      </c>
      <c r="P3387" t="n">
        <v>0</v>
      </c>
      <c r="Q3387" t="n">
        <v>0</v>
      </c>
      <c r="R3387" s="2" t="inlineStr"/>
    </row>
    <row r="3388" ht="15" customHeight="1">
      <c r="A3388" t="inlineStr">
        <is>
          <t>A 21251-2021</t>
        </is>
      </c>
      <c r="B3388" s="1" t="n">
        <v>44320</v>
      </c>
      <c r="C3388" s="1" t="n">
        <v>45210</v>
      </c>
      <c r="D3388" t="inlineStr">
        <is>
          <t>DALARNAS LÄN</t>
        </is>
      </c>
      <c r="E3388" t="inlineStr">
        <is>
          <t>VANSBRO</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21408-2021</t>
        </is>
      </c>
      <c r="B3389" s="1" t="n">
        <v>44321</v>
      </c>
      <c r="C3389" s="1" t="n">
        <v>45210</v>
      </c>
      <c r="D3389" t="inlineStr">
        <is>
          <t>DALARNAS LÄN</t>
        </is>
      </c>
      <c r="E3389" t="inlineStr">
        <is>
          <t>HEDEMORA</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21429-2021</t>
        </is>
      </c>
      <c r="B3390" s="1" t="n">
        <v>44321</v>
      </c>
      <c r="C3390" s="1" t="n">
        <v>45210</v>
      </c>
      <c r="D3390" t="inlineStr">
        <is>
          <t>DALARNAS LÄN</t>
        </is>
      </c>
      <c r="E3390" t="inlineStr">
        <is>
          <t>SMEDJEBACKEN</t>
        </is>
      </c>
      <c r="F3390" t="inlineStr">
        <is>
          <t>Sveaskog</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21456-2021</t>
        </is>
      </c>
      <c r="B3391" s="1" t="n">
        <v>44321</v>
      </c>
      <c r="C3391" s="1" t="n">
        <v>45210</v>
      </c>
      <c r="D3391" t="inlineStr">
        <is>
          <t>DALARNAS LÄN</t>
        </is>
      </c>
      <c r="E3391" t="inlineStr">
        <is>
          <t>GAGNEF</t>
        </is>
      </c>
      <c r="F3391" t="inlineStr">
        <is>
          <t>Bergvik skog väst AB</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21368-2021</t>
        </is>
      </c>
      <c r="B3392" s="1" t="n">
        <v>44321</v>
      </c>
      <c r="C3392" s="1" t="n">
        <v>45210</v>
      </c>
      <c r="D3392" t="inlineStr">
        <is>
          <t>DALARNAS LÄN</t>
        </is>
      </c>
      <c r="E3392" t="inlineStr">
        <is>
          <t>MALUNG-SÄLEN</t>
        </is>
      </c>
      <c r="G3392" t="n">
        <v>6.2</v>
      </c>
      <c r="H3392" t="n">
        <v>0</v>
      </c>
      <c r="I3392" t="n">
        <v>0</v>
      </c>
      <c r="J3392" t="n">
        <v>0</v>
      </c>
      <c r="K3392" t="n">
        <v>0</v>
      </c>
      <c r="L3392" t="n">
        <v>0</v>
      </c>
      <c r="M3392" t="n">
        <v>0</v>
      </c>
      <c r="N3392" t="n">
        <v>0</v>
      </c>
      <c r="O3392" t="n">
        <v>0</v>
      </c>
      <c r="P3392" t="n">
        <v>0</v>
      </c>
      <c r="Q3392" t="n">
        <v>0</v>
      </c>
      <c r="R3392" s="2" t="inlineStr"/>
    </row>
    <row r="3393" ht="15" customHeight="1">
      <c r="A3393" t="inlineStr">
        <is>
          <t>A 21414-2021</t>
        </is>
      </c>
      <c r="B3393" s="1" t="n">
        <v>44321</v>
      </c>
      <c r="C3393" s="1" t="n">
        <v>45210</v>
      </c>
      <c r="D3393" t="inlineStr">
        <is>
          <t>DALARNAS LÄN</t>
        </is>
      </c>
      <c r="E3393" t="inlineStr">
        <is>
          <t>SMEDJEBACKEN</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21566-2021</t>
        </is>
      </c>
      <c r="B3394" s="1" t="n">
        <v>44321</v>
      </c>
      <c r="C3394" s="1" t="n">
        <v>45210</v>
      </c>
      <c r="D3394" t="inlineStr">
        <is>
          <t>DALARNAS LÄN</t>
        </is>
      </c>
      <c r="E3394" t="inlineStr">
        <is>
          <t>MALUNG-SÄLEN</t>
        </is>
      </c>
      <c r="F3394" t="inlineStr">
        <is>
          <t>Bergvik skog väst AB</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22455-2021</t>
        </is>
      </c>
      <c r="B3395" s="1" t="n">
        <v>44321</v>
      </c>
      <c r="C3395" s="1" t="n">
        <v>45210</v>
      </c>
      <c r="D3395" t="inlineStr">
        <is>
          <t>DALARNAS LÄN</t>
        </is>
      </c>
      <c r="E3395" t="inlineStr">
        <is>
          <t>MALUNG-SÄLEN</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21451-2021</t>
        </is>
      </c>
      <c r="B3396" s="1" t="n">
        <v>44321</v>
      </c>
      <c r="C3396" s="1" t="n">
        <v>45210</v>
      </c>
      <c r="D3396" t="inlineStr">
        <is>
          <t>DALARNAS LÄN</t>
        </is>
      </c>
      <c r="E3396" t="inlineStr">
        <is>
          <t>SMEDJEBACKEN</t>
        </is>
      </c>
      <c r="F3396" t="inlineStr">
        <is>
          <t>Kyrkan</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21900-2021</t>
        </is>
      </c>
      <c r="B3397" s="1" t="n">
        <v>44322</v>
      </c>
      <c r="C3397" s="1" t="n">
        <v>45210</v>
      </c>
      <c r="D3397" t="inlineStr">
        <is>
          <t>DALARNAS LÄN</t>
        </is>
      </c>
      <c r="E3397" t="inlineStr">
        <is>
          <t>RÄTTVIK</t>
        </is>
      </c>
      <c r="F3397" t="inlineStr">
        <is>
          <t>Sveaskog</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21678-2021</t>
        </is>
      </c>
      <c r="B3398" s="1" t="n">
        <v>44322</v>
      </c>
      <c r="C3398" s="1" t="n">
        <v>45210</v>
      </c>
      <c r="D3398" t="inlineStr">
        <is>
          <t>DALARNAS LÄN</t>
        </is>
      </c>
      <c r="E3398" t="inlineStr">
        <is>
          <t>ORSA</t>
        </is>
      </c>
      <c r="G3398" t="n">
        <v>11.4</v>
      </c>
      <c r="H3398" t="n">
        <v>0</v>
      </c>
      <c r="I3398" t="n">
        <v>0</v>
      </c>
      <c r="J3398" t="n">
        <v>0</v>
      </c>
      <c r="K3398" t="n">
        <v>0</v>
      </c>
      <c r="L3398" t="n">
        <v>0</v>
      </c>
      <c r="M3398" t="n">
        <v>0</v>
      </c>
      <c r="N3398" t="n">
        <v>0</v>
      </c>
      <c r="O3398" t="n">
        <v>0</v>
      </c>
      <c r="P3398" t="n">
        <v>0</v>
      </c>
      <c r="Q3398" t="n">
        <v>0</v>
      </c>
      <c r="R3398" s="2" t="inlineStr"/>
    </row>
    <row r="3399" ht="15" customHeight="1">
      <c r="A3399" t="inlineStr">
        <is>
          <t>A 21887-2021</t>
        </is>
      </c>
      <c r="B3399" s="1" t="n">
        <v>44322</v>
      </c>
      <c r="C3399" s="1" t="n">
        <v>45210</v>
      </c>
      <c r="D3399" t="inlineStr">
        <is>
          <t>DALARNAS LÄN</t>
        </is>
      </c>
      <c r="E3399" t="inlineStr">
        <is>
          <t>LUDVIKA</t>
        </is>
      </c>
      <c r="F3399" t="inlineStr">
        <is>
          <t>Bergvik skog väst AB</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21968-2021</t>
        </is>
      </c>
      <c r="B3400" s="1" t="n">
        <v>44323</v>
      </c>
      <c r="C3400" s="1" t="n">
        <v>45210</v>
      </c>
      <c r="D3400" t="inlineStr">
        <is>
          <t>DALARNAS LÄN</t>
        </is>
      </c>
      <c r="E3400" t="inlineStr">
        <is>
          <t>LEKSAND</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21969-2021</t>
        </is>
      </c>
      <c r="B3401" s="1" t="n">
        <v>44323</v>
      </c>
      <c r="C3401" s="1" t="n">
        <v>45210</v>
      </c>
      <c r="D3401" t="inlineStr">
        <is>
          <t>DALARNAS LÄN</t>
        </is>
      </c>
      <c r="E3401" t="inlineStr">
        <is>
          <t>LEKSAND</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21965-2021</t>
        </is>
      </c>
      <c r="B3402" s="1" t="n">
        <v>44323</v>
      </c>
      <c r="C3402" s="1" t="n">
        <v>45210</v>
      </c>
      <c r="D3402" t="inlineStr">
        <is>
          <t>DALARNAS LÄN</t>
        </is>
      </c>
      <c r="E3402" t="inlineStr">
        <is>
          <t>LEKSAND</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22721-2021</t>
        </is>
      </c>
      <c r="B3403" s="1" t="n">
        <v>44325</v>
      </c>
      <c r="C3403" s="1" t="n">
        <v>45210</v>
      </c>
      <c r="D3403" t="inlineStr">
        <is>
          <t>DALARNAS LÄN</t>
        </is>
      </c>
      <c r="E3403" t="inlineStr">
        <is>
          <t>MALUNG-SÄLEN</t>
        </is>
      </c>
      <c r="G3403" t="n">
        <v>0.2</v>
      </c>
      <c r="H3403" t="n">
        <v>0</v>
      </c>
      <c r="I3403" t="n">
        <v>0</v>
      </c>
      <c r="J3403" t="n">
        <v>0</v>
      </c>
      <c r="K3403" t="n">
        <v>0</v>
      </c>
      <c r="L3403" t="n">
        <v>0</v>
      </c>
      <c r="M3403" t="n">
        <v>0</v>
      </c>
      <c r="N3403" t="n">
        <v>0</v>
      </c>
      <c r="O3403" t="n">
        <v>0</v>
      </c>
      <c r="P3403" t="n">
        <v>0</v>
      </c>
      <c r="Q3403" t="n">
        <v>0</v>
      </c>
      <c r="R3403" s="2" t="inlineStr"/>
    </row>
    <row r="3404" ht="15" customHeight="1">
      <c r="A3404" t="inlineStr">
        <is>
          <t>A 22363-2021</t>
        </is>
      </c>
      <c r="B3404" s="1" t="n">
        <v>44326</v>
      </c>
      <c r="C3404" s="1" t="n">
        <v>45210</v>
      </c>
      <c r="D3404" t="inlineStr">
        <is>
          <t>DALARNAS LÄN</t>
        </is>
      </c>
      <c r="E3404" t="inlineStr">
        <is>
          <t>VANSBRO</t>
        </is>
      </c>
      <c r="F3404" t="inlineStr">
        <is>
          <t>Bergvik skog väst AB</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22402-2021</t>
        </is>
      </c>
      <c r="B3405" s="1" t="n">
        <v>44326</v>
      </c>
      <c r="C3405" s="1" t="n">
        <v>45210</v>
      </c>
      <c r="D3405" t="inlineStr">
        <is>
          <t>DALARNAS LÄN</t>
        </is>
      </c>
      <c r="E3405" t="inlineStr">
        <is>
          <t>RÄTTVIK</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22454-2021</t>
        </is>
      </c>
      <c r="B3406" s="1" t="n">
        <v>44326</v>
      </c>
      <c r="C3406" s="1" t="n">
        <v>45210</v>
      </c>
      <c r="D3406" t="inlineStr">
        <is>
          <t>DALARNAS LÄN</t>
        </is>
      </c>
      <c r="E3406" t="inlineStr">
        <is>
          <t>ÄLVDALEN</t>
        </is>
      </c>
      <c r="F3406" t="inlineStr">
        <is>
          <t>Allmännings- och besparingsskogar</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22309-2021</t>
        </is>
      </c>
      <c r="B3407" s="1" t="n">
        <v>44326</v>
      </c>
      <c r="C3407" s="1" t="n">
        <v>45210</v>
      </c>
      <c r="D3407" t="inlineStr">
        <is>
          <t>DALARNAS LÄN</t>
        </is>
      </c>
      <c r="E3407" t="inlineStr">
        <is>
          <t>GAGNEF</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22414-2021</t>
        </is>
      </c>
      <c r="B3408" s="1" t="n">
        <v>44326</v>
      </c>
      <c r="C3408" s="1" t="n">
        <v>45210</v>
      </c>
      <c r="D3408" t="inlineStr">
        <is>
          <t>DALARNAS LÄN</t>
        </is>
      </c>
      <c r="E3408" t="inlineStr">
        <is>
          <t>RÄTTVIK</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22329-2021</t>
        </is>
      </c>
      <c r="B3409" s="1" t="n">
        <v>44326</v>
      </c>
      <c r="C3409" s="1" t="n">
        <v>45210</v>
      </c>
      <c r="D3409" t="inlineStr">
        <is>
          <t>DALARNAS LÄN</t>
        </is>
      </c>
      <c r="E3409" t="inlineStr">
        <is>
          <t>MALUNG-SÄLEN</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22389-2021</t>
        </is>
      </c>
      <c r="B3410" s="1" t="n">
        <v>44326</v>
      </c>
      <c r="C3410" s="1" t="n">
        <v>45210</v>
      </c>
      <c r="D3410" t="inlineStr">
        <is>
          <t>DALARNAS LÄN</t>
        </is>
      </c>
      <c r="E3410" t="inlineStr">
        <is>
          <t>RÄTTVIK</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22431-2021</t>
        </is>
      </c>
      <c r="B3411" s="1" t="n">
        <v>44326</v>
      </c>
      <c r="C3411" s="1" t="n">
        <v>45210</v>
      </c>
      <c r="D3411" t="inlineStr">
        <is>
          <t>DALARNAS LÄN</t>
        </is>
      </c>
      <c r="E3411" t="inlineStr">
        <is>
          <t>LEKSAND</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22931-2021</t>
        </is>
      </c>
      <c r="B3412" s="1" t="n">
        <v>44326</v>
      </c>
      <c r="C3412" s="1" t="n">
        <v>45210</v>
      </c>
      <c r="D3412" t="inlineStr">
        <is>
          <t>DALARNAS LÄN</t>
        </is>
      </c>
      <c r="E3412" t="inlineStr">
        <is>
          <t>MORA</t>
        </is>
      </c>
      <c r="G3412" t="n">
        <v>4.4</v>
      </c>
      <c r="H3412" t="n">
        <v>0</v>
      </c>
      <c r="I3412" t="n">
        <v>0</v>
      </c>
      <c r="J3412" t="n">
        <v>0</v>
      </c>
      <c r="K3412" t="n">
        <v>0</v>
      </c>
      <c r="L3412" t="n">
        <v>0</v>
      </c>
      <c r="M3412" t="n">
        <v>0</v>
      </c>
      <c r="N3412" t="n">
        <v>0</v>
      </c>
      <c r="O3412" t="n">
        <v>0</v>
      </c>
      <c r="P3412" t="n">
        <v>0</v>
      </c>
      <c r="Q3412" t="n">
        <v>0</v>
      </c>
      <c r="R3412" s="2" t="inlineStr"/>
    </row>
    <row r="3413" ht="15" customHeight="1">
      <c r="A3413" t="inlineStr">
        <is>
          <t>A 22651-2021</t>
        </is>
      </c>
      <c r="B3413" s="1" t="n">
        <v>44327</v>
      </c>
      <c r="C3413" s="1" t="n">
        <v>45210</v>
      </c>
      <c r="D3413" t="inlineStr">
        <is>
          <t>DALARNAS LÄN</t>
        </is>
      </c>
      <c r="E3413" t="inlineStr">
        <is>
          <t>ÄLVDALEN</t>
        </is>
      </c>
      <c r="G3413" t="n">
        <v>5.9</v>
      </c>
      <c r="H3413" t="n">
        <v>0</v>
      </c>
      <c r="I3413" t="n">
        <v>0</v>
      </c>
      <c r="J3413" t="n">
        <v>0</v>
      </c>
      <c r="K3413" t="n">
        <v>0</v>
      </c>
      <c r="L3413" t="n">
        <v>0</v>
      </c>
      <c r="M3413" t="n">
        <v>0</v>
      </c>
      <c r="N3413" t="n">
        <v>0</v>
      </c>
      <c r="O3413" t="n">
        <v>0</v>
      </c>
      <c r="P3413" t="n">
        <v>0</v>
      </c>
      <c r="Q3413" t="n">
        <v>0</v>
      </c>
      <c r="R3413" s="2" t="inlineStr"/>
    </row>
    <row r="3414" ht="15" customHeight="1">
      <c r="A3414" t="inlineStr">
        <is>
          <t>A 22703-2021</t>
        </is>
      </c>
      <c r="B3414" s="1" t="n">
        <v>44327</v>
      </c>
      <c r="C3414" s="1" t="n">
        <v>45210</v>
      </c>
      <c r="D3414" t="inlineStr">
        <is>
          <t>DALARNAS LÄN</t>
        </is>
      </c>
      <c r="E3414" t="inlineStr">
        <is>
          <t>LEKSAND</t>
        </is>
      </c>
      <c r="F3414" t="inlineStr">
        <is>
          <t>Bergvik skog väst AB</t>
        </is>
      </c>
      <c r="G3414" t="n">
        <v>3.4</v>
      </c>
      <c r="H3414" t="n">
        <v>0</v>
      </c>
      <c r="I3414" t="n">
        <v>0</v>
      </c>
      <c r="J3414" t="n">
        <v>0</v>
      </c>
      <c r="K3414" t="n">
        <v>0</v>
      </c>
      <c r="L3414" t="n">
        <v>0</v>
      </c>
      <c r="M3414" t="n">
        <v>0</v>
      </c>
      <c r="N3414" t="n">
        <v>0</v>
      </c>
      <c r="O3414" t="n">
        <v>0</v>
      </c>
      <c r="P3414" t="n">
        <v>0</v>
      </c>
      <c r="Q3414" t="n">
        <v>0</v>
      </c>
      <c r="R3414" s="2" t="inlineStr"/>
      <c r="U3414">
        <f>HYPERLINK("https://klasma.github.io/Logging_2029/knärot/A 22703-2021.png", "A 22703-2021")</f>
        <v/>
      </c>
      <c r="V3414">
        <f>HYPERLINK("https://klasma.github.io/Logging_2029/klagomål/A 22703-2021.docx", "A 22703-2021")</f>
        <v/>
      </c>
      <c r="W3414">
        <f>HYPERLINK("https://klasma.github.io/Logging_2029/klagomålsmail/A 22703-2021.docx", "A 22703-2021")</f>
        <v/>
      </c>
      <c r="X3414">
        <f>HYPERLINK("https://klasma.github.io/Logging_2029/tillsyn/A 22703-2021.docx", "A 22703-2021")</f>
        <v/>
      </c>
      <c r="Y3414">
        <f>HYPERLINK("https://klasma.github.io/Logging_2029/tillsynsmail/A 22703-2021.docx", "A 22703-2021")</f>
        <v/>
      </c>
    </row>
    <row r="3415" ht="15" customHeight="1">
      <c r="A3415" t="inlineStr">
        <is>
          <t>A 22604-2021</t>
        </is>
      </c>
      <c r="B3415" s="1" t="n">
        <v>44327</v>
      </c>
      <c r="C3415" s="1" t="n">
        <v>45210</v>
      </c>
      <c r="D3415" t="inlineStr">
        <is>
          <t>DALARNAS LÄN</t>
        </is>
      </c>
      <c r="E3415" t="inlineStr">
        <is>
          <t>SÄTER</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22684-2021</t>
        </is>
      </c>
      <c r="B3416" s="1" t="n">
        <v>44327</v>
      </c>
      <c r="C3416" s="1" t="n">
        <v>45210</v>
      </c>
      <c r="D3416" t="inlineStr">
        <is>
          <t>DALARNAS LÄN</t>
        </is>
      </c>
      <c r="E3416" t="inlineStr">
        <is>
          <t>LEKSAND</t>
        </is>
      </c>
      <c r="F3416" t="inlineStr">
        <is>
          <t>Bergvik skog väst AB</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23005-2021</t>
        </is>
      </c>
      <c r="B3417" s="1" t="n">
        <v>44328</v>
      </c>
      <c r="C3417" s="1" t="n">
        <v>45210</v>
      </c>
      <c r="D3417" t="inlineStr">
        <is>
          <t>DALARNAS LÄN</t>
        </is>
      </c>
      <c r="E3417" t="inlineStr">
        <is>
          <t>AVESTA</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22803-2021</t>
        </is>
      </c>
      <c r="B3418" s="1" t="n">
        <v>44328</v>
      </c>
      <c r="C3418" s="1" t="n">
        <v>45210</v>
      </c>
      <c r="D3418" t="inlineStr">
        <is>
          <t>DALARNAS LÄN</t>
        </is>
      </c>
      <c r="E3418" t="inlineStr">
        <is>
          <t>VANSBRO</t>
        </is>
      </c>
      <c r="G3418" t="n">
        <v>3.8</v>
      </c>
      <c r="H3418" t="n">
        <v>0</v>
      </c>
      <c r="I3418" t="n">
        <v>0</v>
      </c>
      <c r="J3418" t="n">
        <v>0</v>
      </c>
      <c r="K3418" t="n">
        <v>0</v>
      </c>
      <c r="L3418" t="n">
        <v>0</v>
      </c>
      <c r="M3418" t="n">
        <v>0</v>
      </c>
      <c r="N3418" t="n">
        <v>0</v>
      </c>
      <c r="O3418" t="n">
        <v>0</v>
      </c>
      <c r="P3418" t="n">
        <v>0</v>
      </c>
      <c r="Q3418" t="n">
        <v>0</v>
      </c>
      <c r="R3418" s="2" t="inlineStr"/>
    </row>
    <row r="3419" ht="15" customHeight="1">
      <c r="A3419" t="inlineStr">
        <is>
          <t>A 22999-2021</t>
        </is>
      </c>
      <c r="B3419" s="1" t="n">
        <v>44328</v>
      </c>
      <c r="C3419" s="1" t="n">
        <v>45210</v>
      </c>
      <c r="D3419" t="inlineStr">
        <is>
          <t>DALARNAS LÄN</t>
        </is>
      </c>
      <c r="E3419" t="inlineStr">
        <is>
          <t>LEKSAND</t>
        </is>
      </c>
      <c r="F3419" t="inlineStr">
        <is>
          <t>Bergvik skog väst AB</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23162-2021</t>
        </is>
      </c>
      <c r="B3420" s="1" t="n">
        <v>44332</v>
      </c>
      <c r="C3420" s="1" t="n">
        <v>45210</v>
      </c>
      <c r="D3420" t="inlineStr">
        <is>
          <t>DALARNAS LÄN</t>
        </is>
      </c>
      <c r="E3420" t="inlineStr">
        <is>
          <t>MALUNG-SÄLEN</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23161-2021</t>
        </is>
      </c>
      <c r="B3421" s="1" t="n">
        <v>44332</v>
      </c>
      <c r="C3421" s="1" t="n">
        <v>45210</v>
      </c>
      <c r="D3421" t="inlineStr">
        <is>
          <t>DALARNAS LÄN</t>
        </is>
      </c>
      <c r="E3421" t="inlineStr">
        <is>
          <t>MALUNG-SÄLEN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23347-2021</t>
        </is>
      </c>
      <c r="B3422" s="1" t="n">
        <v>44333</v>
      </c>
      <c r="C3422" s="1" t="n">
        <v>45210</v>
      </c>
      <c r="D3422" t="inlineStr">
        <is>
          <t>DALARNAS LÄN</t>
        </is>
      </c>
      <c r="E3422" t="inlineStr">
        <is>
          <t>AVESTA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23245-2021</t>
        </is>
      </c>
      <c r="B3423" s="1" t="n">
        <v>44333</v>
      </c>
      <c r="C3423" s="1" t="n">
        <v>45210</v>
      </c>
      <c r="D3423" t="inlineStr">
        <is>
          <t>DALARNAS LÄN</t>
        </is>
      </c>
      <c r="E3423" t="inlineStr">
        <is>
          <t>LUDVIKA</t>
        </is>
      </c>
      <c r="F3423" t="inlineStr">
        <is>
          <t>Kyrkan</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23271-2021</t>
        </is>
      </c>
      <c r="B3424" s="1" t="n">
        <v>44333</v>
      </c>
      <c r="C3424" s="1" t="n">
        <v>45210</v>
      </c>
      <c r="D3424" t="inlineStr">
        <is>
          <t>DALARNAS LÄN</t>
        </is>
      </c>
      <c r="E3424" t="inlineStr">
        <is>
          <t>LUDVIKA</t>
        </is>
      </c>
      <c r="F3424" t="inlineStr">
        <is>
          <t>Bergvik skog väst AB</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23281-2021</t>
        </is>
      </c>
      <c r="B3425" s="1" t="n">
        <v>44333</v>
      </c>
      <c r="C3425" s="1" t="n">
        <v>45210</v>
      </c>
      <c r="D3425" t="inlineStr">
        <is>
          <t>DALARNAS LÄN</t>
        </is>
      </c>
      <c r="E3425" t="inlineStr">
        <is>
          <t>MALUNG-SÄLEN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23233-2021</t>
        </is>
      </c>
      <c r="B3426" s="1" t="n">
        <v>44333</v>
      </c>
      <c r="C3426" s="1" t="n">
        <v>45210</v>
      </c>
      <c r="D3426" t="inlineStr">
        <is>
          <t>DALARNAS LÄN</t>
        </is>
      </c>
      <c r="E3426" t="inlineStr">
        <is>
          <t>SMEDJEBACKEN</t>
        </is>
      </c>
      <c r="F3426" t="inlineStr">
        <is>
          <t>Sveaskog</t>
        </is>
      </c>
      <c r="G3426" t="n">
        <v>5</v>
      </c>
      <c r="H3426" t="n">
        <v>0</v>
      </c>
      <c r="I3426" t="n">
        <v>0</v>
      </c>
      <c r="J3426" t="n">
        <v>0</v>
      </c>
      <c r="K3426" t="n">
        <v>0</v>
      </c>
      <c r="L3426" t="n">
        <v>0</v>
      </c>
      <c r="M3426" t="n">
        <v>0</v>
      </c>
      <c r="N3426" t="n">
        <v>0</v>
      </c>
      <c r="O3426" t="n">
        <v>0</v>
      </c>
      <c r="P3426" t="n">
        <v>0</v>
      </c>
      <c r="Q3426" t="n">
        <v>0</v>
      </c>
      <c r="R3426" s="2" t="inlineStr"/>
    </row>
    <row r="3427" ht="15" customHeight="1">
      <c r="A3427" t="inlineStr">
        <is>
          <t>A 23505-2021</t>
        </is>
      </c>
      <c r="B3427" s="1" t="n">
        <v>44334</v>
      </c>
      <c r="C3427" s="1" t="n">
        <v>45210</v>
      </c>
      <c r="D3427" t="inlineStr">
        <is>
          <t>DALARNAS LÄN</t>
        </is>
      </c>
      <c r="E3427" t="inlineStr">
        <is>
          <t>FALUN</t>
        </is>
      </c>
      <c r="F3427" t="inlineStr">
        <is>
          <t>Bergvik skog väst AB</t>
        </is>
      </c>
      <c r="G3427" t="n">
        <v>5.5</v>
      </c>
      <c r="H3427" t="n">
        <v>0</v>
      </c>
      <c r="I3427" t="n">
        <v>0</v>
      </c>
      <c r="J3427" t="n">
        <v>0</v>
      </c>
      <c r="K3427" t="n">
        <v>0</v>
      </c>
      <c r="L3427" t="n">
        <v>0</v>
      </c>
      <c r="M3427" t="n">
        <v>0</v>
      </c>
      <c r="N3427" t="n">
        <v>0</v>
      </c>
      <c r="O3427" t="n">
        <v>0</v>
      </c>
      <c r="P3427" t="n">
        <v>0</v>
      </c>
      <c r="Q3427" t="n">
        <v>0</v>
      </c>
      <c r="R3427" s="2" t="inlineStr"/>
      <c r="U3427">
        <f>HYPERLINK("https://klasma.github.io/Logging_2080/knärot/A 23505-2021.png", "A 23505-2021")</f>
        <v/>
      </c>
      <c r="V3427">
        <f>HYPERLINK("https://klasma.github.io/Logging_2080/klagomål/A 23505-2021.docx", "A 23505-2021")</f>
        <v/>
      </c>
      <c r="W3427">
        <f>HYPERLINK("https://klasma.github.io/Logging_2080/klagomålsmail/A 23505-2021.docx", "A 23505-2021")</f>
        <v/>
      </c>
      <c r="X3427">
        <f>HYPERLINK("https://klasma.github.io/Logging_2080/tillsyn/A 23505-2021.docx", "A 23505-2021")</f>
        <v/>
      </c>
      <c r="Y3427">
        <f>HYPERLINK("https://klasma.github.io/Logging_2080/tillsynsmail/A 23505-2021.docx", "A 23505-2021")</f>
        <v/>
      </c>
    </row>
    <row r="3428" ht="15" customHeight="1">
      <c r="A3428" t="inlineStr">
        <is>
          <t>A 23824-2021</t>
        </is>
      </c>
      <c r="B3428" s="1" t="n">
        <v>44335</v>
      </c>
      <c r="C3428" s="1" t="n">
        <v>45210</v>
      </c>
      <c r="D3428" t="inlineStr">
        <is>
          <t>DALARNAS LÄN</t>
        </is>
      </c>
      <c r="E3428" t="inlineStr">
        <is>
          <t>LEKSAND</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24080-2021</t>
        </is>
      </c>
      <c r="B3429" s="1" t="n">
        <v>44336</v>
      </c>
      <c r="C3429" s="1" t="n">
        <v>45210</v>
      </c>
      <c r="D3429" t="inlineStr">
        <is>
          <t>DALARNAS LÄN</t>
        </is>
      </c>
      <c r="E3429" t="inlineStr">
        <is>
          <t>LUDVIKA</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24231-2021</t>
        </is>
      </c>
      <c r="B3430" s="1" t="n">
        <v>44336</v>
      </c>
      <c r="C3430" s="1" t="n">
        <v>45210</v>
      </c>
      <c r="D3430" t="inlineStr">
        <is>
          <t>DALARNAS LÄN</t>
        </is>
      </c>
      <c r="E3430" t="inlineStr">
        <is>
          <t>RÄTTVIK</t>
        </is>
      </c>
      <c r="F3430" t="inlineStr">
        <is>
          <t>Bergvik skog väst AB</t>
        </is>
      </c>
      <c r="G3430" t="n">
        <v>5.4</v>
      </c>
      <c r="H3430" t="n">
        <v>0</v>
      </c>
      <c r="I3430" t="n">
        <v>0</v>
      </c>
      <c r="J3430" t="n">
        <v>0</v>
      </c>
      <c r="K3430" t="n">
        <v>0</v>
      </c>
      <c r="L3430" t="n">
        <v>0</v>
      </c>
      <c r="M3430" t="n">
        <v>0</v>
      </c>
      <c r="N3430" t="n">
        <v>0</v>
      </c>
      <c r="O3430" t="n">
        <v>0</v>
      </c>
      <c r="P3430" t="n">
        <v>0</v>
      </c>
      <c r="Q3430" t="n">
        <v>0</v>
      </c>
      <c r="R3430" s="2" t="inlineStr"/>
    </row>
    <row r="3431" ht="15" customHeight="1">
      <c r="A3431" t="inlineStr">
        <is>
          <t>A 24077-2021</t>
        </is>
      </c>
      <c r="B3431" s="1" t="n">
        <v>44336</v>
      </c>
      <c r="C3431" s="1" t="n">
        <v>45210</v>
      </c>
      <c r="D3431" t="inlineStr">
        <is>
          <t>DALARNAS LÄN</t>
        </is>
      </c>
      <c r="E3431" t="inlineStr">
        <is>
          <t>VANSBRO</t>
        </is>
      </c>
      <c r="F3431" t="inlineStr">
        <is>
          <t>Bergvik skog öst AB</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24067-2021</t>
        </is>
      </c>
      <c r="B3432" s="1" t="n">
        <v>44336</v>
      </c>
      <c r="C3432" s="1" t="n">
        <v>45210</v>
      </c>
      <c r="D3432" t="inlineStr">
        <is>
          <t>DALARNAS LÄN</t>
        </is>
      </c>
      <c r="E3432" t="inlineStr">
        <is>
          <t>VANSBRO</t>
        </is>
      </c>
      <c r="F3432" t="inlineStr">
        <is>
          <t>Bergvik skog öst AB</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24083-2021</t>
        </is>
      </c>
      <c r="B3433" s="1" t="n">
        <v>44336</v>
      </c>
      <c r="C3433" s="1" t="n">
        <v>45210</v>
      </c>
      <c r="D3433" t="inlineStr">
        <is>
          <t>DALARNAS LÄN</t>
        </is>
      </c>
      <c r="E3433" t="inlineStr">
        <is>
          <t>ORSA</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24142-2021</t>
        </is>
      </c>
      <c r="B3434" s="1" t="n">
        <v>44336</v>
      </c>
      <c r="C3434" s="1" t="n">
        <v>45210</v>
      </c>
      <c r="D3434" t="inlineStr">
        <is>
          <t>DALARNAS LÄN</t>
        </is>
      </c>
      <c r="E3434" t="inlineStr">
        <is>
          <t>LEKSAND</t>
        </is>
      </c>
      <c r="F3434" t="inlineStr">
        <is>
          <t>Bergvik skog väst AB</t>
        </is>
      </c>
      <c r="G3434" t="n">
        <v>18.9</v>
      </c>
      <c r="H3434" t="n">
        <v>0</v>
      </c>
      <c r="I3434" t="n">
        <v>0</v>
      </c>
      <c r="J3434" t="n">
        <v>0</v>
      </c>
      <c r="K3434" t="n">
        <v>0</v>
      </c>
      <c r="L3434" t="n">
        <v>0</v>
      </c>
      <c r="M3434" t="n">
        <v>0</v>
      </c>
      <c r="N3434" t="n">
        <v>0</v>
      </c>
      <c r="O3434" t="n">
        <v>0</v>
      </c>
      <c r="P3434" t="n">
        <v>0</v>
      </c>
      <c r="Q3434" t="n">
        <v>0</v>
      </c>
      <c r="R3434" s="2" t="inlineStr"/>
    </row>
    <row r="3435" ht="15" customHeight="1">
      <c r="A3435" t="inlineStr">
        <is>
          <t>A 24350-2021</t>
        </is>
      </c>
      <c r="B3435" s="1" t="n">
        <v>44337</v>
      </c>
      <c r="C3435" s="1" t="n">
        <v>45210</v>
      </c>
      <c r="D3435" t="inlineStr">
        <is>
          <t>DALARNAS LÄN</t>
        </is>
      </c>
      <c r="E3435" t="inlineStr">
        <is>
          <t>BORLÄNGE</t>
        </is>
      </c>
      <c r="G3435" t="n">
        <v>0.2</v>
      </c>
      <c r="H3435" t="n">
        <v>0</v>
      </c>
      <c r="I3435" t="n">
        <v>0</v>
      </c>
      <c r="J3435" t="n">
        <v>0</v>
      </c>
      <c r="K3435" t="n">
        <v>0</v>
      </c>
      <c r="L3435" t="n">
        <v>0</v>
      </c>
      <c r="M3435" t="n">
        <v>0</v>
      </c>
      <c r="N3435" t="n">
        <v>0</v>
      </c>
      <c r="O3435" t="n">
        <v>0</v>
      </c>
      <c r="P3435" t="n">
        <v>0</v>
      </c>
      <c r="Q3435" t="n">
        <v>0</v>
      </c>
      <c r="R3435" s="2" t="inlineStr"/>
    </row>
    <row r="3436" ht="15" customHeight="1">
      <c r="A3436" t="inlineStr">
        <is>
          <t>A 24465-2021</t>
        </is>
      </c>
      <c r="B3436" s="1" t="n">
        <v>44337</v>
      </c>
      <c r="C3436" s="1" t="n">
        <v>45210</v>
      </c>
      <c r="D3436" t="inlineStr">
        <is>
          <t>DALARNAS LÄN</t>
        </is>
      </c>
      <c r="E3436" t="inlineStr">
        <is>
          <t>MORA</t>
        </is>
      </c>
      <c r="G3436" t="n">
        <v>2.6</v>
      </c>
      <c r="H3436" t="n">
        <v>0</v>
      </c>
      <c r="I3436" t="n">
        <v>0</v>
      </c>
      <c r="J3436" t="n">
        <v>0</v>
      </c>
      <c r="K3436" t="n">
        <v>0</v>
      </c>
      <c r="L3436" t="n">
        <v>0</v>
      </c>
      <c r="M3436" t="n">
        <v>0</v>
      </c>
      <c r="N3436" t="n">
        <v>0</v>
      </c>
      <c r="O3436" t="n">
        <v>0</v>
      </c>
      <c r="P3436" t="n">
        <v>0</v>
      </c>
      <c r="Q3436" t="n">
        <v>0</v>
      </c>
      <c r="R3436" s="2" t="inlineStr"/>
    </row>
    <row r="3437" ht="15" customHeight="1">
      <c r="A3437" t="inlineStr">
        <is>
          <t>A 24479-2021</t>
        </is>
      </c>
      <c r="B3437" s="1" t="n">
        <v>44337</v>
      </c>
      <c r="C3437" s="1" t="n">
        <v>45210</v>
      </c>
      <c r="D3437" t="inlineStr">
        <is>
          <t>DALARNAS LÄN</t>
        </is>
      </c>
      <c r="E3437" t="inlineStr">
        <is>
          <t>LEKSAND</t>
        </is>
      </c>
      <c r="F3437" t="inlineStr">
        <is>
          <t>Bergvik skog väst AB</t>
        </is>
      </c>
      <c r="G3437" t="n">
        <v>6.6</v>
      </c>
      <c r="H3437" t="n">
        <v>0</v>
      </c>
      <c r="I3437" t="n">
        <v>0</v>
      </c>
      <c r="J3437" t="n">
        <v>0</v>
      </c>
      <c r="K3437" t="n">
        <v>0</v>
      </c>
      <c r="L3437" t="n">
        <v>0</v>
      </c>
      <c r="M3437" t="n">
        <v>0</v>
      </c>
      <c r="N3437" t="n">
        <v>0</v>
      </c>
      <c r="O3437" t="n">
        <v>0</v>
      </c>
      <c r="P3437" t="n">
        <v>0</v>
      </c>
      <c r="Q3437" t="n">
        <v>0</v>
      </c>
      <c r="R3437" s="2" t="inlineStr"/>
    </row>
    <row r="3438" ht="15" customHeight="1">
      <c r="A3438" t="inlineStr">
        <is>
          <t>A 24454-2021</t>
        </is>
      </c>
      <c r="B3438" s="1" t="n">
        <v>44337</v>
      </c>
      <c r="C3438" s="1" t="n">
        <v>45210</v>
      </c>
      <c r="D3438" t="inlineStr">
        <is>
          <t>DALARNAS LÄN</t>
        </is>
      </c>
      <c r="E3438" t="inlineStr">
        <is>
          <t>VANSBRO</t>
        </is>
      </c>
      <c r="F3438" t="inlineStr">
        <is>
          <t>Bergvik skog öst AB</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24469-2021</t>
        </is>
      </c>
      <c r="B3439" s="1" t="n">
        <v>44337</v>
      </c>
      <c r="C3439" s="1" t="n">
        <v>45210</v>
      </c>
      <c r="D3439" t="inlineStr">
        <is>
          <t>DALARNAS LÄN</t>
        </is>
      </c>
      <c r="E3439" t="inlineStr">
        <is>
          <t>LUDVIKA</t>
        </is>
      </c>
      <c r="F3439" t="inlineStr">
        <is>
          <t>Bergvik skog väst AB</t>
        </is>
      </c>
      <c r="G3439" t="n">
        <v>6.9</v>
      </c>
      <c r="H3439" t="n">
        <v>0</v>
      </c>
      <c r="I3439" t="n">
        <v>0</v>
      </c>
      <c r="J3439" t="n">
        <v>0</v>
      </c>
      <c r="K3439" t="n">
        <v>0</v>
      </c>
      <c r="L3439" t="n">
        <v>0</v>
      </c>
      <c r="M3439" t="n">
        <v>0</v>
      </c>
      <c r="N3439" t="n">
        <v>0</v>
      </c>
      <c r="O3439" t="n">
        <v>0</v>
      </c>
      <c r="P3439" t="n">
        <v>0</v>
      </c>
      <c r="Q3439" t="n">
        <v>0</v>
      </c>
      <c r="R3439" s="2" t="inlineStr"/>
    </row>
    <row r="3440" ht="15" customHeight="1">
      <c r="A3440" t="inlineStr">
        <is>
          <t>A 24757-2021</t>
        </is>
      </c>
      <c r="B3440" s="1" t="n">
        <v>44340</v>
      </c>
      <c r="C3440" s="1" t="n">
        <v>45210</v>
      </c>
      <c r="D3440" t="inlineStr">
        <is>
          <t>DALARNAS LÄN</t>
        </is>
      </c>
      <c r="E3440" t="inlineStr">
        <is>
          <t>RÄTTVIK</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24963-2021</t>
        </is>
      </c>
      <c r="B3441" s="1" t="n">
        <v>44341</v>
      </c>
      <c r="C3441" s="1" t="n">
        <v>45210</v>
      </c>
      <c r="D3441" t="inlineStr">
        <is>
          <t>DALARNAS LÄN</t>
        </is>
      </c>
      <c r="E3441" t="inlineStr">
        <is>
          <t>GAGNEF</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24992-2021</t>
        </is>
      </c>
      <c r="B3442" s="1" t="n">
        <v>44341</v>
      </c>
      <c r="C3442" s="1" t="n">
        <v>45210</v>
      </c>
      <c r="D3442" t="inlineStr">
        <is>
          <t>DALARNAS LÄN</t>
        </is>
      </c>
      <c r="E3442" t="inlineStr">
        <is>
          <t>BORLÄNGE</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25285-2021</t>
        </is>
      </c>
      <c r="B3443" s="1" t="n">
        <v>44342</v>
      </c>
      <c r="C3443" s="1" t="n">
        <v>45210</v>
      </c>
      <c r="D3443" t="inlineStr">
        <is>
          <t>DALARNAS LÄN</t>
        </is>
      </c>
      <c r="E3443" t="inlineStr">
        <is>
          <t>MALUNG-SÄLEN</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25437-2021</t>
        </is>
      </c>
      <c r="B3444" s="1" t="n">
        <v>44342</v>
      </c>
      <c r="C3444" s="1" t="n">
        <v>45210</v>
      </c>
      <c r="D3444" t="inlineStr">
        <is>
          <t>DALARNAS LÄN</t>
        </is>
      </c>
      <c r="E3444" t="inlineStr">
        <is>
          <t>SMEDJEBACKEN</t>
        </is>
      </c>
      <c r="F3444" t="inlineStr">
        <is>
          <t>Sveaskog</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25276-2021</t>
        </is>
      </c>
      <c r="B3445" s="1" t="n">
        <v>44342</v>
      </c>
      <c r="C3445" s="1" t="n">
        <v>45210</v>
      </c>
      <c r="D3445" t="inlineStr">
        <is>
          <t>DALARNAS LÄN</t>
        </is>
      </c>
      <c r="E3445" t="inlineStr">
        <is>
          <t>FALUN</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25366-2021</t>
        </is>
      </c>
      <c r="B3446" s="1" t="n">
        <v>44342</v>
      </c>
      <c r="C3446" s="1" t="n">
        <v>45210</v>
      </c>
      <c r="D3446" t="inlineStr">
        <is>
          <t>DALARNAS LÄN</t>
        </is>
      </c>
      <c r="E3446" t="inlineStr">
        <is>
          <t>SMEDJEBACKEN</t>
        </is>
      </c>
      <c r="F3446" t="inlineStr">
        <is>
          <t>Sveaskog</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25761-2021</t>
        </is>
      </c>
      <c r="B3447" s="1" t="n">
        <v>44343</v>
      </c>
      <c r="C3447" s="1" t="n">
        <v>45210</v>
      </c>
      <c r="D3447" t="inlineStr">
        <is>
          <t>DALARNAS LÄN</t>
        </is>
      </c>
      <c r="E3447" t="inlineStr">
        <is>
          <t>ORSA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25750-2021</t>
        </is>
      </c>
      <c r="B3448" s="1" t="n">
        <v>44343</v>
      </c>
      <c r="C3448" s="1" t="n">
        <v>45210</v>
      </c>
      <c r="D3448" t="inlineStr">
        <is>
          <t>DALARNAS LÄN</t>
        </is>
      </c>
      <c r="E3448" t="inlineStr">
        <is>
          <t>MORA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26066-2021</t>
        </is>
      </c>
      <c r="B3449" s="1" t="n">
        <v>44344</v>
      </c>
      <c r="C3449" s="1" t="n">
        <v>45210</v>
      </c>
      <c r="D3449" t="inlineStr">
        <is>
          <t>DALARNAS LÄN</t>
        </is>
      </c>
      <c r="E3449" t="inlineStr">
        <is>
          <t>LUDVIKA</t>
        </is>
      </c>
      <c r="F3449" t="inlineStr">
        <is>
          <t>Bergvik skog väst AB</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26080-2021</t>
        </is>
      </c>
      <c r="B3450" s="1" t="n">
        <v>44344</v>
      </c>
      <c r="C3450" s="1" t="n">
        <v>45210</v>
      </c>
      <c r="D3450" t="inlineStr">
        <is>
          <t>DALARNAS LÄN</t>
        </is>
      </c>
      <c r="E3450" t="inlineStr">
        <is>
          <t>ÄLVDALEN</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26219-2021</t>
        </is>
      </c>
      <c r="B3451" s="1" t="n">
        <v>44347</v>
      </c>
      <c r="C3451" s="1" t="n">
        <v>45210</v>
      </c>
      <c r="D3451" t="inlineStr">
        <is>
          <t>DALARNAS LÄN</t>
        </is>
      </c>
      <c r="E3451" t="inlineStr">
        <is>
          <t>RÄTTVIK</t>
        </is>
      </c>
      <c r="G3451" t="n">
        <v>7.1</v>
      </c>
      <c r="H3451" t="n">
        <v>0</v>
      </c>
      <c r="I3451" t="n">
        <v>0</v>
      </c>
      <c r="J3451" t="n">
        <v>0</v>
      </c>
      <c r="K3451" t="n">
        <v>0</v>
      </c>
      <c r="L3451" t="n">
        <v>0</v>
      </c>
      <c r="M3451" t="n">
        <v>0</v>
      </c>
      <c r="N3451" t="n">
        <v>0</v>
      </c>
      <c r="O3451" t="n">
        <v>0</v>
      </c>
      <c r="P3451" t="n">
        <v>0</v>
      </c>
      <c r="Q3451" t="n">
        <v>0</v>
      </c>
      <c r="R3451" s="2" t="inlineStr"/>
    </row>
    <row r="3452" ht="15" customHeight="1">
      <c r="A3452" t="inlineStr">
        <is>
          <t>A 26249-2021</t>
        </is>
      </c>
      <c r="B3452" s="1" t="n">
        <v>44347</v>
      </c>
      <c r="C3452" s="1" t="n">
        <v>45210</v>
      </c>
      <c r="D3452" t="inlineStr">
        <is>
          <t>DALARNAS LÄN</t>
        </is>
      </c>
      <c r="E3452" t="inlineStr">
        <is>
          <t>ÄLVDALEN</t>
        </is>
      </c>
      <c r="F3452" t="inlineStr">
        <is>
          <t>Bergvik skog väst AB</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26314-2021</t>
        </is>
      </c>
      <c r="B3453" s="1" t="n">
        <v>44347</v>
      </c>
      <c r="C3453" s="1" t="n">
        <v>45210</v>
      </c>
      <c r="D3453" t="inlineStr">
        <is>
          <t>DALARNAS LÄN</t>
        </is>
      </c>
      <c r="E3453" t="inlineStr">
        <is>
          <t>MORA</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26209-2021</t>
        </is>
      </c>
      <c r="B3454" s="1" t="n">
        <v>44347</v>
      </c>
      <c r="C3454" s="1" t="n">
        <v>45210</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26341-2021</t>
        </is>
      </c>
      <c r="B3455" s="1" t="n">
        <v>44347</v>
      </c>
      <c r="C3455" s="1" t="n">
        <v>45210</v>
      </c>
      <c r="D3455" t="inlineStr">
        <is>
          <t>DALARNAS LÄN</t>
        </is>
      </c>
      <c r="E3455" t="inlineStr">
        <is>
          <t>MALUNG-SÄLEN</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26465-2021</t>
        </is>
      </c>
      <c r="B3456" s="1" t="n">
        <v>44348</v>
      </c>
      <c r="C3456" s="1" t="n">
        <v>45210</v>
      </c>
      <c r="D3456" t="inlineStr">
        <is>
          <t>DALARNAS LÄN</t>
        </is>
      </c>
      <c r="E3456" t="inlineStr">
        <is>
          <t>FALUN</t>
        </is>
      </c>
      <c r="G3456" t="n">
        <v>3.8</v>
      </c>
      <c r="H3456" t="n">
        <v>0</v>
      </c>
      <c r="I3456" t="n">
        <v>0</v>
      </c>
      <c r="J3456" t="n">
        <v>0</v>
      </c>
      <c r="K3456" t="n">
        <v>0</v>
      </c>
      <c r="L3456" t="n">
        <v>0</v>
      </c>
      <c r="M3456" t="n">
        <v>0</v>
      </c>
      <c r="N3456" t="n">
        <v>0</v>
      </c>
      <c r="O3456" t="n">
        <v>0</v>
      </c>
      <c r="P3456" t="n">
        <v>0</v>
      </c>
      <c r="Q3456" t="n">
        <v>0</v>
      </c>
      <c r="R3456" s="2" t="inlineStr"/>
    </row>
    <row r="3457" ht="15" customHeight="1">
      <c r="A3457" t="inlineStr">
        <is>
          <t>A 26586-2021</t>
        </is>
      </c>
      <c r="B3457" s="1" t="n">
        <v>44348</v>
      </c>
      <c r="C3457" s="1" t="n">
        <v>45210</v>
      </c>
      <c r="D3457" t="inlineStr">
        <is>
          <t>DALARNAS LÄN</t>
        </is>
      </c>
      <c r="E3457" t="inlineStr">
        <is>
          <t>RÄTTVIK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26432-2021</t>
        </is>
      </c>
      <c r="B3458" s="1" t="n">
        <v>44348</v>
      </c>
      <c r="C3458" s="1" t="n">
        <v>45210</v>
      </c>
      <c r="D3458" t="inlineStr">
        <is>
          <t>DALARNAS LÄN</t>
        </is>
      </c>
      <c r="E3458" t="inlineStr">
        <is>
          <t>RÄTTVIK</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26688-2021</t>
        </is>
      </c>
      <c r="B3459" s="1" t="n">
        <v>44349</v>
      </c>
      <c r="C3459" s="1" t="n">
        <v>45210</v>
      </c>
      <c r="D3459" t="inlineStr">
        <is>
          <t>DALARNAS LÄN</t>
        </is>
      </c>
      <c r="E3459" t="inlineStr">
        <is>
          <t>RÄTTVIK</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26713-2021</t>
        </is>
      </c>
      <c r="B3460" s="1" t="n">
        <v>44349</v>
      </c>
      <c r="C3460" s="1" t="n">
        <v>45210</v>
      </c>
      <c r="D3460" t="inlineStr">
        <is>
          <t>DALARNAS LÄN</t>
        </is>
      </c>
      <c r="E3460" t="inlineStr">
        <is>
          <t>FALUN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26738-2021</t>
        </is>
      </c>
      <c r="B3461" s="1" t="n">
        <v>44349</v>
      </c>
      <c r="C3461" s="1" t="n">
        <v>45210</v>
      </c>
      <c r="D3461" t="inlineStr">
        <is>
          <t>DALARNAS LÄN</t>
        </is>
      </c>
      <c r="E3461" t="inlineStr">
        <is>
          <t>LEKSAND</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26686-2021</t>
        </is>
      </c>
      <c r="B3462" s="1" t="n">
        <v>44349</v>
      </c>
      <c r="C3462" s="1" t="n">
        <v>45210</v>
      </c>
      <c r="D3462" t="inlineStr">
        <is>
          <t>DALARNAS LÄN</t>
        </is>
      </c>
      <c r="E3462" t="inlineStr">
        <is>
          <t>RÄTTVIK</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26831-2021</t>
        </is>
      </c>
      <c r="B3463" s="1" t="n">
        <v>44349</v>
      </c>
      <c r="C3463" s="1" t="n">
        <v>45210</v>
      </c>
      <c r="D3463" t="inlineStr">
        <is>
          <t>DALARNAS LÄN</t>
        </is>
      </c>
      <c r="E3463" t="inlineStr">
        <is>
          <t>ORSA</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26874-2021</t>
        </is>
      </c>
      <c r="B3464" s="1" t="n">
        <v>44349</v>
      </c>
      <c r="C3464" s="1" t="n">
        <v>45210</v>
      </c>
      <c r="D3464" t="inlineStr">
        <is>
          <t>DALARNAS LÄN</t>
        </is>
      </c>
      <c r="E3464" t="inlineStr">
        <is>
          <t>ÄLVDALEN</t>
        </is>
      </c>
      <c r="F3464" t="inlineStr">
        <is>
          <t>Bergvik skog öst AB</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27029-2021</t>
        </is>
      </c>
      <c r="B3465" s="1" t="n">
        <v>44350</v>
      </c>
      <c r="C3465" s="1" t="n">
        <v>45210</v>
      </c>
      <c r="D3465" t="inlineStr">
        <is>
          <t>DALARNAS LÄN</t>
        </is>
      </c>
      <c r="E3465" t="inlineStr">
        <is>
          <t>RÄTTVIK</t>
        </is>
      </c>
      <c r="G3465" t="n">
        <v>6.2</v>
      </c>
      <c r="H3465" t="n">
        <v>0</v>
      </c>
      <c r="I3465" t="n">
        <v>0</v>
      </c>
      <c r="J3465" t="n">
        <v>0</v>
      </c>
      <c r="K3465" t="n">
        <v>0</v>
      </c>
      <c r="L3465" t="n">
        <v>0</v>
      </c>
      <c r="M3465" t="n">
        <v>0</v>
      </c>
      <c r="N3465" t="n">
        <v>0</v>
      </c>
      <c r="O3465" t="n">
        <v>0</v>
      </c>
      <c r="P3465" t="n">
        <v>0</v>
      </c>
      <c r="Q3465" t="n">
        <v>0</v>
      </c>
      <c r="R3465" s="2" t="inlineStr"/>
    </row>
    <row r="3466" ht="15" customHeight="1">
      <c r="A3466" t="inlineStr">
        <is>
          <t>A 27154-2021</t>
        </is>
      </c>
      <c r="B3466" s="1" t="n">
        <v>44350</v>
      </c>
      <c r="C3466" s="1" t="n">
        <v>45210</v>
      </c>
      <c r="D3466" t="inlineStr">
        <is>
          <t>DALARNAS LÄN</t>
        </is>
      </c>
      <c r="E3466" t="inlineStr">
        <is>
          <t>LEKSAND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27221-2021</t>
        </is>
      </c>
      <c r="B3467" s="1" t="n">
        <v>44350</v>
      </c>
      <c r="C3467" s="1" t="n">
        <v>45210</v>
      </c>
      <c r="D3467" t="inlineStr">
        <is>
          <t>DALARNAS LÄN</t>
        </is>
      </c>
      <c r="E3467" t="inlineStr">
        <is>
          <t>AVESTA</t>
        </is>
      </c>
      <c r="F3467" t="inlineStr">
        <is>
          <t>Sveaskog</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27146-2021</t>
        </is>
      </c>
      <c r="B3468" s="1" t="n">
        <v>44350</v>
      </c>
      <c r="C3468" s="1" t="n">
        <v>45210</v>
      </c>
      <c r="D3468" t="inlineStr">
        <is>
          <t>DALARNAS LÄN</t>
        </is>
      </c>
      <c r="E3468" t="inlineStr">
        <is>
          <t>ORSA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27047-2021</t>
        </is>
      </c>
      <c r="B3469" s="1" t="n">
        <v>44350</v>
      </c>
      <c r="C3469" s="1" t="n">
        <v>45210</v>
      </c>
      <c r="D3469" t="inlineStr">
        <is>
          <t>DALARNAS LÄN</t>
        </is>
      </c>
      <c r="E3469" t="inlineStr">
        <is>
          <t>MALUNG-SÄLEN</t>
        </is>
      </c>
      <c r="G3469" t="n">
        <v>3.7</v>
      </c>
      <c r="H3469" t="n">
        <v>0</v>
      </c>
      <c r="I3469" t="n">
        <v>0</v>
      </c>
      <c r="J3469" t="n">
        <v>0</v>
      </c>
      <c r="K3469" t="n">
        <v>0</v>
      </c>
      <c r="L3469" t="n">
        <v>0</v>
      </c>
      <c r="M3469" t="n">
        <v>0</v>
      </c>
      <c r="N3469" t="n">
        <v>0</v>
      </c>
      <c r="O3469" t="n">
        <v>0</v>
      </c>
      <c r="P3469" t="n">
        <v>0</v>
      </c>
      <c r="Q3469" t="n">
        <v>0</v>
      </c>
      <c r="R3469" s="2" t="inlineStr"/>
    </row>
    <row r="3470" ht="15" customHeight="1">
      <c r="A3470" t="inlineStr">
        <is>
          <t>A 27470-2021</t>
        </is>
      </c>
      <c r="B3470" s="1" t="n">
        <v>44351</v>
      </c>
      <c r="C3470" s="1" t="n">
        <v>45210</v>
      </c>
      <c r="D3470" t="inlineStr">
        <is>
          <t>DALARNAS LÄN</t>
        </is>
      </c>
      <c r="E3470" t="inlineStr">
        <is>
          <t>MALUNG-SÄLEN</t>
        </is>
      </c>
      <c r="F3470" t="inlineStr">
        <is>
          <t>Allmännings- och besparingsskogar</t>
        </is>
      </c>
      <c r="G3470" t="n">
        <v>14.8</v>
      </c>
      <c r="H3470" t="n">
        <v>0</v>
      </c>
      <c r="I3470" t="n">
        <v>0</v>
      </c>
      <c r="J3470" t="n">
        <v>0</v>
      </c>
      <c r="K3470" t="n">
        <v>0</v>
      </c>
      <c r="L3470" t="n">
        <v>0</v>
      </c>
      <c r="M3470" t="n">
        <v>0</v>
      </c>
      <c r="N3470" t="n">
        <v>0</v>
      </c>
      <c r="O3470" t="n">
        <v>0</v>
      </c>
      <c r="P3470" t="n">
        <v>0</v>
      </c>
      <c r="Q3470" t="n">
        <v>0</v>
      </c>
      <c r="R3470" s="2" t="inlineStr"/>
    </row>
    <row r="3471" ht="15" customHeight="1">
      <c r="A3471" t="inlineStr">
        <is>
          <t>A 27376-2021</t>
        </is>
      </c>
      <c r="B3471" s="1" t="n">
        <v>44351</v>
      </c>
      <c r="C3471" s="1" t="n">
        <v>45210</v>
      </c>
      <c r="D3471" t="inlineStr">
        <is>
          <t>DALARNAS LÄN</t>
        </is>
      </c>
      <c r="E3471" t="inlineStr">
        <is>
          <t>RÄTTVIK</t>
        </is>
      </c>
      <c r="G3471" t="n">
        <v>3.6</v>
      </c>
      <c r="H3471" t="n">
        <v>0</v>
      </c>
      <c r="I3471" t="n">
        <v>0</v>
      </c>
      <c r="J3471" t="n">
        <v>0</v>
      </c>
      <c r="K3471" t="n">
        <v>0</v>
      </c>
      <c r="L3471" t="n">
        <v>0</v>
      </c>
      <c r="M3471" t="n">
        <v>0</v>
      </c>
      <c r="N3471" t="n">
        <v>0</v>
      </c>
      <c r="O3471" t="n">
        <v>0</v>
      </c>
      <c r="P3471" t="n">
        <v>0</v>
      </c>
      <c r="Q3471" t="n">
        <v>0</v>
      </c>
      <c r="R3471" s="2" t="inlineStr"/>
    </row>
    <row r="3472" ht="15" customHeight="1">
      <c r="A3472" t="inlineStr">
        <is>
          <t>A 27466-2021</t>
        </is>
      </c>
      <c r="B3472" s="1" t="n">
        <v>44351</v>
      </c>
      <c r="C3472" s="1" t="n">
        <v>45210</v>
      </c>
      <c r="D3472" t="inlineStr">
        <is>
          <t>DALARNAS LÄN</t>
        </is>
      </c>
      <c r="E3472" t="inlineStr">
        <is>
          <t>MALUNG-SÄLEN</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27282-2021</t>
        </is>
      </c>
      <c r="B3473" s="1" t="n">
        <v>44351</v>
      </c>
      <c r="C3473" s="1" t="n">
        <v>45210</v>
      </c>
      <c r="D3473" t="inlineStr">
        <is>
          <t>DALARNAS LÄN</t>
        </is>
      </c>
      <c r="E3473" t="inlineStr">
        <is>
          <t>RÄTTVIK</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27317-2021</t>
        </is>
      </c>
      <c r="B3474" s="1" t="n">
        <v>44351</v>
      </c>
      <c r="C3474" s="1" t="n">
        <v>45210</v>
      </c>
      <c r="D3474" t="inlineStr">
        <is>
          <t>DALARNAS LÄN</t>
        </is>
      </c>
      <c r="E3474" t="inlineStr">
        <is>
          <t>LEKSAND</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27542-2021</t>
        </is>
      </c>
      <c r="B3475" s="1" t="n">
        <v>44351</v>
      </c>
      <c r="C3475" s="1" t="n">
        <v>45210</v>
      </c>
      <c r="D3475" t="inlineStr">
        <is>
          <t>DALARNAS LÄN</t>
        </is>
      </c>
      <c r="E3475" t="inlineStr">
        <is>
          <t>ORSA</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27621-2021</t>
        </is>
      </c>
      <c r="B3476" s="1" t="n">
        <v>44354</v>
      </c>
      <c r="C3476" s="1" t="n">
        <v>45210</v>
      </c>
      <c r="D3476" t="inlineStr">
        <is>
          <t>DALARNAS LÄN</t>
        </is>
      </c>
      <c r="E3476" t="inlineStr">
        <is>
          <t>SMEDJEBACKEN</t>
        </is>
      </c>
      <c r="G3476" t="n">
        <v>4.5</v>
      </c>
      <c r="H3476" t="n">
        <v>0</v>
      </c>
      <c r="I3476" t="n">
        <v>0</v>
      </c>
      <c r="J3476" t="n">
        <v>0</v>
      </c>
      <c r="K3476" t="n">
        <v>0</v>
      </c>
      <c r="L3476" t="n">
        <v>0</v>
      </c>
      <c r="M3476" t="n">
        <v>0</v>
      </c>
      <c r="N3476" t="n">
        <v>0</v>
      </c>
      <c r="O3476" t="n">
        <v>0</v>
      </c>
      <c r="P3476" t="n">
        <v>0</v>
      </c>
      <c r="Q3476" t="n">
        <v>0</v>
      </c>
      <c r="R3476" s="2" t="inlineStr"/>
    </row>
    <row r="3477" ht="15" customHeight="1">
      <c r="A3477" t="inlineStr">
        <is>
          <t>A 27611-2021</t>
        </is>
      </c>
      <c r="B3477" s="1" t="n">
        <v>44354</v>
      </c>
      <c r="C3477" s="1" t="n">
        <v>45210</v>
      </c>
      <c r="D3477" t="inlineStr">
        <is>
          <t>DALARNAS LÄN</t>
        </is>
      </c>
      <c r="E3477" t="inlineStr">
        <is>
          <t>SMEDJEBACKEN</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28126-2021</t>
        </is>
      </c>
      <c r="B3478" s="1" t="n">
        <v>44355</v>
      </c>
      <c r="C3478" s="1" t="n">
        <v>45210</v>
      </c>
      <c r="D3478" t="inlineStr">
        <is>
          <t>DALARNAS LÄN</t>
        </is>
      </c>
      <c r="E3478" t="inlineStr">
        <is>
          <t>FALUN</t>
        </is>
      </c>
      <c r="G3478" t="n">
        <v>3.7</v>
      </c>
      <c r="H3478" t="n">
        <v>0</v>
      </c>
      <c r="I3478" t="n">
        <v>0</v>
      </c>
      <c r="J3478" t="n">
        <v>0</v>
      </c>
      <c r="K3478" t="n">
        <v>0</v>
      </c>
      <c r="L3478" t="n">
        <v>0</v>
      </c>
      <c r="M3478" t="n">
        <v>0</v>
      </c>
      <c r="N3478" t="n">
        <v>0</v>
      </c>
      <c r="O3478" t="n">
        <v>0</v>
      </c>
      <c r="P3478" t="n">
        <v>0</v>
      </c>
      <c r="Q3478" t="n">
        <v>0</v>
      </c>
      <c r="R3478" s="2" t="inlineStr"/>
    </row>
    <row r="3479" ht="15" customHeight="1">
      <c r="A3479" t="inlineStr">
        <is>
          <t>A 28029-2021</t>
        </is>
      </c>
      <c r="B3479" s="1" t="n">
        <v>44355</v>
      </c>
      <c r="C3479" s="1" t="n">
        <v>45210</v>
      </c>
      <c r="D3479" t="inlineStr">
        <is>
          <t>DALARNAS LÄN</t>
        </is>
      </c>
      <c r="E3479" t="inlineStr">
        <is>
          <t>SMEDJEBACKEN</t>
        </is>
      </c>
      <c r="F3479" t="inlineStr">
        <is>
          <t>Sveaskog</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28049-2021</t>
        </is>
      </c>
      <c r="B3480" s="1" t="n">
        <v>44355</v>
      </c>
      <c r="C3480" s="1" t="n">
        <v>45210</v>
      </c>
      <c r="D3480" t="inlineStr">
        <is>
          <t>DALARNAS LÄN</t>
        </is>
      </c>
      <c r="E3480" t="inlineStr">
        <is>
          <t>SMEDJEBACKEN</t>
        </is>
      </c>
      <c r="F3480" t="inlineStr">
        <is>
          <t>Sveaskog</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28259-2021</t>
        </is>
      </c>
      <c r="B3481" s="1" t="n">
        <v>44355</v>
      </c>
      <c r="C3481" s="1" t="n">
        <v>45210</v>
      </c>
      <c r="D3481" t="inlineStr">
        <is>
          <t>DALARNAS LÄN</t>
        </is>
      </c>
      <c r="E3481" t="inlineStr">
        <is>
          <t>ORSA</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28067-2021</t>
        </is>
      </c>
      <c r="B3482" s="1" t="n">
        <v>44355</v>
      </c>
      <c r="C3482" s="1" t="n">
        <v>45210</v>
      </c>
      <c r="D3482" t="inlineStr">
        <is>
          <t>DALARNAS LÄN</t>
        </is>
      </c>
      <c r="E3482" t="inlineStr">
        <is>
          <t>HEDEMORA</t>
        </is>
      </c>
      <c r="F3482" t="inlineStr">
        <is>
          <t>Sveaskog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28204-2021</t>
        </is>
      </c>
      <c r="B3483" s="1" t="n">
        <v>44355</v>
      </c>
      <c r="C3483" s="1" t="n">
        <v>45210</v>
      </c>
      <c r="D3483" t="inlineStr">
        <is>
          <t>DALARNAS LÄN</t>
        </is>
      </c>
      <c r="E3483" t="inlineStr">
        <is>
          <t>MALUNG-SÄLEN</t>
        </is>
      </c>
      <c r="F3483" t="inlineStr">
        <is>
          <t>Bergvik skog öst AB</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28514-2021</t>
        </is>
      </c>
      <c r="B3484" s="1" t="n">
        <v>44356</v>
      </c>
      <c r="C3484" s="1" t="n">
        <v>45210</v>
      </c>
      <c r="D3484" t="inlineStr">
        <is>
          <t>DALARNAS LÄN</t>
        </is>
      </c>
      <c r="E3484" t="inlineStr">
        <is>
          <t>AVESTA</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28521-2021</t>
        </is>
      </c>
      <c r="B3485" s="1" t="n">
        <v>44356</v>
      </c>
      <c r="C3485" s="1" t="n">
        <v>45210</v>
      </c>
      <c r="D3485" t="inlineStr">
        <is>
          <t>DALARNAS LÄN</t>
        </is>
      </c>
      <c r="E3485" t="inlineStr">
        <is>
          <t>AVESTA</t>
        </is>
      </c>
      <c r="G3485" t="n">
        <v>1.3</v>
      </c>
      <c r="H3485" t="n">
        <v>0</v>
      </c>
      <c r="I3485" t="n">
        <v>0</v>
      </c>
      <c r="J3485" t="n">
        <v>0</v>
      </c>
      <c r="K3485" t="n">
        <v>0</v>
      </c>
      <c r="L3485" t="n">
        <v>0</v>
      </c>
      <c r="M3485" t="n">
        <v>0</v>
      </c>
      <c r="N3485" t="n">
        <v>0</v>
      </c>
      <c r="O3485" t="n">
        <v>0</v>
      </c>
      <c r="P3485" t="n">
        <v>0</v>
      </c>
      <c r="Q3485" t="n">
        <v>0</v>
      </c>
      <c r="R3485" s="2" t="inlineStr"/>
    </row>
    <row r="3486" ht="15" customHeight="1">
      <c r="A3486" t="inlineStr">
        <is>
          <t>A 28396-2021</t>
        </is>
      </c>
      <c r="B3486" s="1" t="n">
        <v>44356</v>
      </c>
      <c r="C3486" s="1" t="n">
        <v>45210</v>
      </c>
      <c r="D3486" t="inlineStr">
        <is>
          <t>DALARNAS LÄN</t>
        </is>
      </c>
      <c r="E3486" t="inlineStr">
        <is>
          <t>MALUNG-SÄLEN</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28630-2021</t>
        </is>
      </c>
      <c r="B3487" s="1" t="n">
        <v>44356</v>
      </c>
      <c r="C3487" s="1" t="n">
        <v>45210</v>
      </c>
      <c r="D3487" t="inlineStr">
        <is>
          <t>DALARNAS LÄN</t>
        </is>
      </c>
      <c r="E3487" t="inlineStr">
        <is>
          <t>ORSA</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28773-2021</t>
        </is>
      </c>
      <c r="B3488" s="1" t="n">
        <v>44357</v>
      </c>
      <c r="C3488" s="1" t="n">
        <v>45210</v>
      </c>
      <c r="D3488" t="inlineStr">
        <is>
          <t>DALARNAS LÄN</t>
        </is>
      </c>
      <c r="E3488" t="inlineStr">
        <is>
          <t>FALUN</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28675-2021</t>
        </is>
      </c>
      <c r="B3489" s="1" t="n">
        <v>44357</v>
      </c>
      <c r="C3489" s="1" t="n">
        <v>45210</v>
      </c>
      <c r="D3489" t="inlineStr">
        <is>
          <t>DALARNAS LÄN</t>
        </is>
      </c>
      <c r="E3489" t="inlineStr">
        <is>
          <t>SMEDJEBACKEN</t>
        </is>
      </c>
      <c r="F3489" t="inlineStr">
        <is>
          <t>Kommuner</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28712-2021</t>
        </is>
      </c>
      <c r="B3490" s="1" t="n">
        <v>44357</v>
      </c>
      <c r="C3490" s="1" t="n">
        <v>45210</v>
      </c>
      <c r="D3490" t="inlineStr">
        <is>
          <t>DALARNAS LÄN</t>
        </is>
      </c>
      <c r="E3490" t="inlineStr">
        <is>
          <t>ÄLVDALEN</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29123-2021</t>
        </is>
      </c>
      <c r="B3491" s="1" t="n">
        <v>44358</v>
      </c>
      <c r="C3491" s="1" t="n">
        <v>45210</v>
      </c>
      <c r="D3491" t="inlineStr">
        <is>
          <t>DALARNAS LÄN</t>
        </is>
      </c>
      <c r="E3491" t="inlineStr">
        <is>
          <t>HEDEMORA</t>
        </is>
      </c>
      <c r="G3491" t="n">
        <v>5.6</v>
      </c>
      <c r="H3491" t="n">
        <v>0</v>
      </c>
      <c r="I3491" t="n">
        <v>0</v>
      </c>
      <c r="J3491" t="n">
        <v>0</v>
      </c>
      <c r="K3491" t="n">
        <v>0</v>
      </c>
      <c r="L3491" t="n">
        <v>0</v>
      </c>
      <c r="M3491" t="n">
        <v>0</v>
      </c>
      <c r="N3491" t="n">
        <v>0</v>
      </c>
      <c r="O3491" t="n">
        <v>0</v>
      </c>
      <c r="P3491" t="n">
        <v>0</v>
      </c>
      <c r="Q3491" t="n">
        <v>0</v>
      </c>
      <c r="R3491" s="2" t="inlineStr"/>
    </row>
    <row r="3492" ht="15" customHeight="1">
      <c r="A3492" t="inlineStr">
        <is>
          <t>A 29132-2021</t>
        </is>
      </c>
      <c r="B3492" s="1" t="n">
        <v>44358</v>
      </c>
      <c r="C3492" s="1" t="n">
        <v>45210</v>
      </c>
      <c r="D3492" t="inlineStr">
        <is>
          <t>DALARNAS LÄN</t>
        </is>
      </c>
      <c r="E3492" t="inlineStr">
        <is>
          <t>FALUN</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29000-2021</t>
        </is>
      </c>
      <c r="B3493" s="1" t="n">
        <v>44358</v>
      </c>
      <c r="C3493" s="1" t="n">
        <v>45210</v>
      </c>
      <c r="D3493" t="inlineStr">
        <is>
          <t>DALARNAS LÄN</t>
        </is>
      </c>
      <c r="E3493" t="inlineStr">
        <is>
          <t>LUDVIKA</t>
        </is>
      </c>
      <c r="F3493" t="inlineStr">
        <is>
          <t>Bergvik skog väst AB</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29305-2021</t>
        </is>
      </c>
      <c r="B3494" s="1" t="n">
        <v>44361</v>
      </c>
      <c r="C3494" s="1" t="n">
        <v>45210</v>
      </c>
      <c r="D3494" t="inlineStr">
        <is>
          <t>DALARNAS LÄN</t>
        </is>
      </c>
      <c r="E3494" t="inlineStr">
        <is>
          <t>BORLÄNGE</t>
        </is>
      </c>
      <c r="G3494" t="n">
        <v>6.4</v>
      </c>
      <c r="H3494" t="n">
        <v>0</v>
      </c>
      <c r="I3494" t="n">
        <v>0</v>
      </c>
      <c r="J3494" t="n">
        <v>0</v>
      </c>
      <c r="K3494" t="n">
        <v>0</v>
      </c>
      <c r="L3494" t="n">
        <v>0</v>
      </c>
      <c r="M3494" t="n">
        <v>0</v>
      </c>
      <c r="N3494" t="n">
        <v>0</v>
      </c>
      <c r="O3494" t="n">
        <v>0</v>
      </c>
      <c r="P3494" t="n">
        <v>0</v>
      </c>
      <c r="Q3494" t="n">
        <v>0</v>
      </c>
      <c r="R3494" s="2" t="inlineStr"/>
    </row>
    <row r="3495" ht="15" customHeight="1">
      <c r="A3495" t="inlineStr">
        <is>
          <t>A 29323-2021</t>
        </is>
      </c>
      <c r="B3495" s="1" t="n">
        <v>44361</v>
      </c>
      <c r="C3495" s="1" t="n">
        <v>45210</v>
      </c>
      <c r="D3495" t="inlineStr">
        <is>
          <t>DALARNAS LÄN</t>
        </is>
      </c>
      <c r="E3495" t="inlineStr">
        <is>
          <t>VANSBRO</t>
        </is>
      </c>
      <c r="G3495" t="n">
        <v>9.699999999999999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29328-2021</t>
        </is>
      </c>
      <c r="B3496" s="1" t="n">
        <v>44361</v>
      </c>
      <c r="C3496" s="1" t="n">
        <v>45210</v>
      </c>
      <c r="D3496" t="inlineStr">
        <is>
          <t>DALARNAS LÄN</t>
        </is>
      </c>
      <c r="E3496" t="inlineStr">
        <is>
          <t>VANSBRO</t>
        </is>
      </c>
      <c r="G3496" t="n">
        <v>7.7</v>
      </c>
      <c r="H3496" t="n">
        <v>0</v>
      </c>
      <c r="I3496" t="n">
        <v>0</v>
      </c>
      <c r="J3496" t="n">
        <v>0</v>
      </c>
      <c r="K3496" t="n">
        <v>0</v>
      </c>
      <c r="L3496" t="n">
        <v>0</v>
      </c>
      <c r="M3496" t="n">
        <v>0</v>
      </c>
      <c r="N3496" t="n">
        <v>0</v>
      </c>
      <c r="O3496" t="n">
        <v>0</v>
      </c>
      <c r="P3496" t="n">
        <v>0</v>
      </c>
      <c r="Q3496" t="n">
        <v>0</v>
      </c>
      <c r="R3496" s="2" t="inlineStr"/>
    </row>
    <row r="3497" ht="15" customHeight="1">
      <c r="A3497" t="inlineStr">
        <is>
          <t>A 29555-2021</t>
        </is>
      </c>
      <c r="B3497" s="1" t="n">
        <v>44361</v>
      </c>
      <c r="C3497" s="1" t="n">
        <v>45210</v>
      </c>
      <c r="D3497" t="inlineStr">
        <is>
          <t>DALARNAS LÄN</t>
        </is>
      </c>
      <c r="E3497" t="inlineStr">
        <is>
          <t>ORSA</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29769-2021</t>
        </is>
      </c>
      <c r="B3498" s="1" t="n">
        <v>44362</v>
      </c>
      <c r="C3498" s="1" t="n">
        <v>45210</v>
      </c>
      <c r="D3498" t="inlineStr">
        <is>
          <t>DALARNAS LÄN</t>
        </is>
      </c>
      <c r="E3498" t="inlineStr">
        <is>
          <t>FALUN</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29789-2021</t>
        </is>
      </c>
      <c r="B3499" s="1" t="n">
        <v>44362</v>
      </c>
      <c r="C3499" s="1" t="n">
        <v>45210</v>
      </c>
      <c r="D3499" t="inlineStr">
        <is>
          <t>DALARNAS LÄN</t>
        </is>
      </c>
      <c r="E3499" t="inlineStr">
        <is>
          <t>LUDVIKA</t>
        </is>
      </c>
      <c r="F3499" t="inlineStr">
        <is>
          <t>Övriga Aktiebolag</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29880-2021</t>
        </is>
      </c>
      <c r="B3500" s="1" t="n">
        <v>44362</v>
      </c>
      <c r="C3500" s="1" t="n">
        <v>45210</v>
      </c>
      <c r="D3500" t="inlineStr">
        <is>
          <t>DALARNAS LÄN</t>
        </is>
      </c>
      <c r="E3500" t="inlineStr">
        <is>
          <t>FALUN</t>
        </is>
      </c>
      <c r="F3500" t="inlineStr">
        <is>
          <t>Bergvik skog väst AB</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30079-2021</t>
        </is>
      </c>
      <c r="B3501" s="1" t="n">
        <v>44363</v>
      </c>
      <c r="C3501" s="1" t="n">
        <v>45210</v>
      </c>
      <c r="D3501" t="inlineStr">
        <is>
          <t>DALARNAS LÄN</t>
        </is>
      </c>
      <c r="E3501" t="inlineStr">
        <is>
          <t>MALUNG-SÄLEN</t>
        </is>
      </c>
      <c r="G3501" t="n">
        <v>4.9</v>
      </c>
      <c r="H3501" t="n">
        <v>0</v>
      </c>
      <c r="I3501" t="n">
        <v>0</v>
      </c>
      <c r="J3501" t="n">
        <v>0</v>
      </c>
      <c r="K3501" t="n">
        <v>0</v>
      </c>
      <c r="L3501" t="n">
        <v>0</v>
      </c>
      <c r="M3501" t="n">
        <v>0</v>
      </c>
      <c r="N3501" t="n">
        <v>0</v>
      </c>
      <c r="O3501" t="n">
        <v>0</v>
      </c>
      <c r="P3501" t="n">
        <v>0</v>
      </c>
      <c r="Q3501" t="n">
        <v>0</v>
      </c>
      <c r="R3501" s="2" t="inlineStr"/>
    </row>
    <row r="3502" ht="15" customHeight="1">
      <c r="A3502" t="inlineStr">
        <is>
          <t>A 30249-2021</t>
        </is>
      </c>
      <c r="B3502" s="1" t="n">
        <v>44363</v>
      </c>
      <c r="C3502" s="1" t="n">
        <v>45210</v>
      </c>
      <c r="D3502" t="inlineStr">
        <is>
          <t>DALARNAS LÄN</t>
        </is>
      </c>
      <c r="E3502" t="inlineStr">
        <is>
          <t>ÄLVDALEN</t>
        </is>
      </c>
      <c r="F3502" t="inlineStr">
        <is>
          <t>Sveaskog</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30006-2021</t>
        </is>
      </c>
      <c r="B3503" s="1" t="n">
        <v>44363</v>
      </c>
      <c r="C3503" s="1" t="n">
        <v>45210</v>
      </c>
      <c r="D3503" t="inlineStr">
        <is>
          <t>DALARNAS LÄN</t>
        </is>
      </c>
      <c r="E3503" t="inlineStr">
        <is>
          <t>MALUNG-SÄLEN</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30030-2021</t>
        </is>
      </c>
      <c r="B3504" s="1" t="n">
        <v>44363</v>
      </c>
      <c r="C3504" s="1" t="n">
        <v>45210</v>
      </c>
      <c r="D3504" t="inlineStr">
        <is>
          <t>DALARNAS LÄN</t>
        </is>
      </c>
      <c r="E3504" t="inlineStr">
        <is>
          <t>MORA</t>
        </is>
      </c>
      <c r="G3504" t="n">
        <v>7.1</v>
      </c>
      <c r="H3504" t="n">
        <v>0</v>
      </c>
      <c r="I3504" t="n">
        <v>0</v>
      </c>
      <c r="J3504" t="n">
        <v>0</v>
      </c>
      <c r="K3504" t="n">
        <v>0</v>
      </c>
      <c r="L3504" t="n">
        <v>0</v>
      </c>
      <c r="M3504" t="n">
        <v>0</v>
      </c>
      <c r="N3504" t="n">
        <v>0</v>
      </c>
      <c r="O3504" t="n">
        <v>0</v>
      </c>
      <c r="P3504" t="n">
        <v>0</v>
      </c>
      <c r="Q3504" t="n">
        <v>0</v>
      </c>
      <c r="R3504" s="2" t="inlineStr"/>
    </row>
    <row r="3505" ht="15" customHeight="1">
      <c r="A3505" t="inlineStr">
        <is>
          <t>A 30178-2021</t>
        </is>
      </c>
      <c r="B3505" s="1" t="n">
        <v>44363</v>
      </c>
      <c r="C3505" s="1" t="n">
        <v>45210</v>
      </c>
      <c r="D3505" t="inlineStr">
        <is>
          <t>DALARNAS LÄN</t>
        </is>
      </c>
      <c r="E3505" t="inlineStr">
        <is>
          <t>FALUN</t>
        </is>
      </c>
      <c r="F3505" t="inlineStr">
        <is>
          <t>Allmännings- och besparingsskogar</t>
        </is>
      </c>
      <c r="G3505" t="n">
        <v>3.4</v>
      </c>
      <c r="H3505" t="n">
        <v>0</v>
      </c>
      <c r="I3505" t="n">
        <v>0</v>
      </c>
      <c r="J3505" t="n">
        <v>0</v>
      </c>
      <c r="K3505" t="n">
        <v>0</v>
      </c>
      <c r="L3505" t="n">
        <v>0</v>
      </c>
      <c r="M3505" t="n">
        <v>0</v>
      </c>
      <c r="N3505" t="n">
        <v>0</v>
      </c>
      <c r="O3505" t="n">
        <v>0</v>
      </c>
      <c r="P3505" t="n">
        <v>0</v>
      </c>
      <c r="Q3505" t="n">
        <v>0</v>
      </c>
      <c r="R3505" s="2" t="inlineStr"/>
    </row>
    <row r="3506" ht="15" customHeight="1">
      <c r="A3506" t="inlineStr">
        <is>
          <t>A 30255-2021</t>
        </is>
      </c>
      <c r="B3506" s="1" t="n">
        <v>44363</v>
      </c>
      <c r="C3506" s="1" t="n">
        <v>45210</v>
      </c>
      <c r="D3506" t="inlineStr">
        <is>
          <t>DALARNAS LÄN</t>
        </is>
      </c>
      <c r="E3506" t="inlineStr">
        <is>
          <t>ÄLVDALEN</t>
        </is>
      </c>
      <c r="F3506" t="inlineStr">
        <is>
          <t>Sveaskog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29960-2021</t>
        </is>
      </c>
      <c r="B3507" s="1" t="n">
        <v>44363</v>
      </c>
      <c r="C3507" s="1" t="n">
        <v>45210</v>
      </c>
      <c r="D3507" t="inlineStr">
        <is>
          <t>DALARNAS LÄN</t>
        </is>
      </c>
      <c r="E3507" t="inlineStr">
        <is>
          <t>RÄTTVIK</t>
        </is>
      </c>
      <c r="G3507" t="n">
        <v>4.4</v>
      </c>
      <c r="H3507" t="n">
        <v>0</v>
      </c>
      <c r="I3507" t="n">
        <v>0</v>
      </c>
      <c r="J3507" t="n">
        <v>0</v>
      </c>
      <c r="K3507" t="n">
        <v>0</v>
      </c>
      <c r="L3507" t="n">
        <v>0</v>
      </c>
      <c r="M3507" t="n">
        <v>0</v>
      </c>
      <c r="N3507" t="n">
        <v>0</v>
      </c>
      <c r="O3507" t="n">
        <v>0</v>
      </c>
      <c r="P3507" t="n">
        <v>0</v>
      </c>
      <c r="Q3507" t="n">
        <v>0</v>
      </c>
      <c r="R3507" s="2" t="inlineStr"/>
    </row>
    <row r="3508" ht="15" customHeight="1">
      <c r="A3508" t="inlineStr">
        <is>
          <t>A 30125-2021</t>
        </is>
      </c>
      <c r="B3508" s="1" t="n">
        <v>44363</v>
      </c>
      <c r="C3508" s="1" t="n">
        <v>45210</v>
      </c>
      <c r="D3508" t="inlineStr">
        <is>
          <t>DALARNAS LÄN</t>
        </is>
      </c>
      <c r="E3508" t="inlineStr">
        <is>
          <t>ORSA</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30140-2021</t>
        </is>
      </c>
      <c r="B3509" s="1" t="n">
        <v>44363</v>
      </c>
      <c r="C3509" s="1" t="n">
        <v>45210</v>
      </c>
      <c r="D3509" t="inlineStr">
        <is>
          <t>DALARNAS LÄN</t>
        </is>
      </c>
      <c r="E3509" t="inlineStr">
        <is>
          <t>MALUNG-SÄLEN</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30254-2021</t>
        </is>
      </c>
      <c r="B3510" s="1" t="n">
        <v>44363</v>
      </c>
      <c r="C3510" s="1" t="n">
        <v>45210</v>
      </c>
      <c r="D3510" t="inlineStr">
        <is>
          <t>DALARNAS LÄN</t>
        </is>
      </c>
      <c r="E3510" t="inlineStr">
        <is>
          <t>ÄLVDALEN</t>
        </is>
      </c>
      <c r="F3510" t="inlineStr">
        <is>
          <t>Sveaskog</t>
        </is>
      </c>
      <c r="G3510" t="n">
        <v>8.1</v>
      </c>
      <c r="H3510" t="n">
        <v>0</v>
      </c>
      <c r="I3510" t="n">
        <v>0</v>
      </c>
      <c r="J3510" t="n">
        <v>0</v>
      </c>
      <c r="K3510" t="n">
        <v>0</v>
      </c>
      <c r="L3510" t="n">
        <v>0</v>
      </c>
      <c r="M3510" t="n">
        <v>0</v>
      </c>
      <c r="N3510" t="n">
        <v>0</v>
      </c>
      <c r="O3510" t="n">
        <v>0</v>
      </c>
      <c r="P3510" t="n">
        <v>0</v>
      </c>
      <c r="Q3510" t="n">
        <v>0</v>
      </c>
      <c r="R3510" s="2" t="inlineStr"/>
    </row>
    <row r="3511" ht="15" customHeight="1">
      <c r="A3511" t="inlineStr">
        <is>
          <t>A 30355-2021</t>
        </is>
      </c>
      <c r="B3511" s="1" t="n">
        <v>44364</v>
      </c>
      <c r="C3511" s="1" t="n">
        <v>45210</v>
      </c>
      <c r="D3511" t="inlineStr">
        <is>
          <t>DALARNAS LÄN</t>
        </is>
      </c>
      <c r="E3511" t="inlineStr">
        <is>
          <t>ÄLVDALEN</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30405-2021</t>
        </is>
      </c>
      <c r="B3512" s="1" t="n">
        <v>44364</v>
      </c>
      <c r="C3512" s="1" t="n">
        <v>45210</v>
      </c>
      <c r="D3512" t="inlineStr">
        <is>
          <t>DALARNAS LÄN</t>
        </is>
      </c>
      <c r="E3512" t="inlineStr">
        <is>
          <t>MALUNG-SÄLEN</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30797-2021</t>
        </is>
      </c>
      <c r="B3513" s="1" t="n">
        <v>44365</v>
      </c>
      <c r="C3513" s="1" t="n">
        <v>45210</v>
      </c>
      <c r="D3513" t="inlineStr">
        <is>
          <t>DALARNAS LÄN</t>
        </is>
      </c>
      <c r="E3513" t="inlineStr">
        <is>
          <t>ÄLVDALEN</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30905-2021</t>
        </is>
      </c>
      <c r="B3514" s="1" t="n">
        <v>44365</v>
      </c>
      <c r="C3514" s="1" t="n">
        <v>45210</v>
      </c>
      <c r="D3514" t="inlineStr">
        <is>
          <t>DALARNAS LÄN</t>
        </is>
      </c>
      <c r="E3514" t="inlineStr">
        <is>
          <t>MORA</t>
        </is>
      </c>
      <c r="G3514" t="n">
        <v>2.6</v>
      </c>
      <c r="H3514" t="n">
        <v>0</v>
      </c>
      <c r="I3514" t="n">
        <v>0</v>
      </c>
      <c r="J3514" t="n">
        <v>0</v>
      </c>
      <c r="K3514" t="n">
        <v>0</v>
      </c>
      <c r="L3514" t="n">
        <v>0</v>
      </c>
      <c r="M3514" t="n">
        <v>0</v>
      </c>
      <c r="N3514" t="n">
        <v>0</v>
      </c>
      <c r="O3514" t="n">
        <v>0</v>
      </c>
      <c r="P3514" t="n">
        <v>0</v>
      </c>
      <c r="Q3514" t="n">
        <v>0</v>
      </c>
      <c r="R3514" s="2" t="inlineStr"/>
    </row>
    <row r="3515" ht="15" customHeight="1">
      <c r="A3515" t="inlineStr">
        <is>
          <t>A 30944-2021</t>
        </is>
      </c>
      <c r="B3515" s="1" t="n">
        <v>44365</v>
      </c>
      <c r="C3515" s="1" t="n">
        <v>45210</v>
      </c>
      <c r="D3515" t="inlineStr">
        <is>
          <t>DALARNAS LÄN</t>
        </is>
      </c>
      <c r="E3515" t="inlineStr">
        <is>
          <t>FALUN</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30972-2021</t>
        </is>
      </c>
      <c r="B3516" s="1" t="n">
        <v>44365</v>
      </c>
      <c r="C3516" s="1" t="n">
        <v>45210</v>
      </c>
      <c r="D3516" t="inlineStr">
        <is>
          <t>DALARNAS LÄN</t>
        </is>
      </c>
      <c r="E3516" t="inlineStr">
        <is>
          <t>ÄLVDALEN</t>
        </is>
      </c>
      <c r="F3516" t="inlineStr">
        <is>
          <t>Sveaskog</t>
        </is>
      </c>
      <c r="G3516" t="n">
        <v>2.3</v>
      </c>
      <c r="H3516" t="n">
        <v>0</v>
      </c>
      <c r="I3516" t="n">
        <v>0</v>
      </c>
      <c r="J3516" t="n">
        <v>0</v>
      </c>
      <c r="K3516" t="n">
        <v>0</v>
      </c>
      <c r="L3516" t="n">
        <v>0</v>
      </c>
      <c r="M3516" t="n">
        <v>0</v>
      </c>
      <c r="N3516" t="n">
        <v>0</v>
      </c>
      <c r="O3516" t="n">
        <v>0</v>
      </c>
      <c r="P3516" t="n">
        <v>0</v>
      </c>
      <c r="Q3516" t="n">
        <v>0</v>
      </c>
      <c r="R3516" s="2" t="inlineStr"/>
    </row>
    <row r="3517" ht="15" customHeight="1">
      <c r="A3517" t="inlineStr">
        <is>
          <t>A 31046-2021</t>
        </is>
      </c>
      <c r="B3517" s="1" t="n">
        <v>44368</v>
      </c>
      <c r="C3517" s="1" t="n">
        <v>45210</v>
      </c>
      <c r="D3517" t="inlineStr">
        <is>
          <t>DALARNAS LÄN</t>
        </is>
      </c>
      <c r="E3517" t="inlineStr">
        <is>
          <t>FALUN</t>
        </is>
      </c>
      <c r="G3517" t="n">
        <v>0.2</v>
      </c>
      <c r="H3517" t="n">
        <v>0</v>
      </c>
      <c r="I3517" t="n">
        <v>0</v>
      </c>
      <c r="J3517" t="n">
        <v>0</v>
      </c>
      <c r="K3517" t="n">
        <v>0</v>
      </c>
      <c r="L3517" t="n">
        <v>0</v>
      </c>
      <c r="M3517" t="n">
        <v>0</v>
      </c>
      <c r="N3517" t="n">
        <v>0</v>
      </c>
      <c r="O3517" t="n">
        <v>0</v>
      </c>
      <c r="P3517" t="n">
        <v>0</v>
      </c>
      <c r="Q3517" t="n">
        <v>0</v>
      </c>
      <c r="R3517" s="2" t="inlineStr"/>
    </row>
    <row r="3518" ht="15" customHeight="1">
      <c r="A3518" t="inlineStr">
        <is>
          <t>A 31169-2021</t>
        </is>
      </c>
      <c r="B3518" s="1" t="n">
        <v>44368</v>
      </c>
      <c r="C3518" s="1" t="n">
        <v>45210</v>
      </c>
      <c r="D3518" t="inlineStr">
        <is>
          <t>DALARNAS LÄN</t>
        </is>
      </c>
      <c r="E3518" t="inlineStr">
        <is>
          <t>MORA</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31177-2021</t>
        </is>
      </c>
      <c r="B3519" s="1" t="n">
        <v>44368</v>
      </c>
      <c r="C3519" s="1" t="n">
        <v>45210</v>
      </c>
      <c r="D3519" t="inlineStr">
        <is>
          <t>DALARNAS LÄN</t>
        </is>
      </c>
      <c r="E3519" t="inlineStr">
        <is>
          <t>MORA</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31126-2021</t>
        </is>
      </c>
      <c r="B3520" s="1" t="n">
        <v>44368</v>
      </c>
      <c r="C3520" s="1" t="n">
        <v>45210</v>
      </c>
      <c r="D3520" t="inlineStr">
        <is>
          <t>DALARNAS LÄN</t>
        </is>
      </c>
      <c r="E3520" t="inlineStr">
        <is>
          <t>AVESTA</t>
        </is>
      </c>
      <c r="G3520" t="n">
        <v>6.3</v>
      </c>
      <c r="H3520" t="n">
        <v>0</v>
      </c>
      <c r="I3520" t="n">
        <v>0</v>
      </c>
      <c r="J3520" t="n">
        <v>0</v>
      </c>
      <c r="K3520" t="n">
        <v>0</v>
      </c>
      <c r="L3520" t="n">
        <v>0</v>
      </c>
      <c r="M3520" t="n">
        <v>0</v>
      </c>
      <c r="N3520" t="n">
        <v>0</v>
      </c>
      <c r="O3520" t="n">
        <v>0</v>
      </c>
      <c r="P3520" t="n">
        <v>0</v>
      </c>
      <c r="Q3520" t="n">
        <v>0</v>
      </c>
      <c r="R3520" s="2" t="inlineStr"/>
    </row>
    <row r="3521" ht="15" customHeight="1">
      <c r="A3521" t="inlineStr">
        <is>
          <t>A 31550-2021</t>
        </is>
      </c>
      <c r="B3521" s="1" t="n">
        <v>44369</v>
      </c>
      <c r="C3521" s="1" t="n">
        <v>45210</v>
      </c>
      <c r="D3521" t="inlineStr">
        <is>
          <t>DALARNAS LÄN</t>
        </is>
      </c>
      <c r="E3521" t="inlineStr">
        <is>
          <t>LUDVIKA</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31921-2021</t>
        </is>
      </c>
      <c r="B3522" s="1" t="n">
        <v>44370</v>
      </c>
      <c r="C3522" s="1" t="n">
        <v>45210</v>
      </c>
      <c r="D3522" t="inlineStr">
        <is>
          <t>DALARNAS LÄN</t>
        </is>
      </c>
      <c r="E3522" t="inlineStr">
        <is>
          <t>LUDVIKA</t>
        </is>
      </c>
      <c r="F3522" t="inlineStr">
        <is>
          <t>Övriga Aktiebolag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32054-2021</t>
        </is>
      </c>
      <c r="B3523" s="1" t="n">
        <v>44370</v>
      </c>
      <c r="C3523" s="1" t="n">
        <v>45210</v>
      </c>
      <c r="D3523" t="inlineStr">
        <is>
          <t>DALARNAS LÄN</t>
        </is>
      </c>
      <c r="E3523" t="inlineStr">
        <is>
          <t>LUDVIKA</t>
        </is>
      </c>
      <c r="G3523" t="n">
        <v>28.7</v>
      </c>
      <c r="H3523" t="n">
        <v>0</v>
      </c>
      <c r="I3523" t="n">
        <v>0</v>
      </c>
      <c r="J3523" t="n">
        <v>0</v>
      </c>
      <c r="K3523" t="n">
        <v>0</v>
      </c>
      <c r="L3523" t="n">
        <v>0</v>
      </c>
      <c r="M3523" t="n">
        <v>0</v>
      </c>
      <c r="N3523" t="n">
        <v>0</v>
      </c>
      <c r="O3523" t="n">
        <v>0</v>
      </c>
      <c r="P3523" t="n">
        <v>0</v>
      </c>
      <c r="Q3523" t="n">
        <v>0</v>
      </c>
      <c r="R3523" s="2" t="inlineStr"/>
    </row>
    <row r="3524" ht="15" customHeight="1">
      <c r="A3524" t="inlineStr">
        <is>
          <t>A 31925-2021</t>
        </is>
      </c>
      <c r="B3524" s="1" t="n">
        <v>44370</v>
      </c>
      <c r="C3524" s="1" t="n">
        <v>45210</v>
      </c>
      <c r="D3524" t="inlineStr">
        <is>
          <t>DALARNAS LÄN</t>
        </is>
      </c>
      <c r="E3524" t="inlineStr">
        <is>
          <t>LUDVIKA</t>
        </is>
      </c>
      <c r="F3524" t="inlineStr">
        <is>
          <t>Övriga Aktiebolag</t>
        </is>
      </c>
      <c r="G3524" t="n">
        <v>3.2</v>
      </c>
      <c r="H3524" t="n">
        <v>0</v>
      </c>
      <c r="I3524" t="n">
        <v>0</v>
      </c>
      <c r="J3524" t="n">
        <v>0</v>
      </c>
      <c r="K3524" t="n">
        <v>0</v>
      </c>
      <c r="L3524" t="n">
        <v>0</v>
      </c>
      <c r="M3524" t="n">
        <v>0</v>
      </c>
      <c r="N3524" t="n">
        <v>0</v>
      </c>
      <c r="O3524" t="n">
        <v>0</v>
      </c>
      <c r="P3524" t="n">
        <v>0</v>
      </c>
      <c r="Q3524" t="n">
        <v>0</v>
      </c>
      <c r="R3524" s="2" t="inlineStr"/>
    </row>
    <row r="3525" ht="15" customHeight="1">
      <c r="A3525" t="inlineStr">
        <is>
          <t>A 32015-2021</t>
        </is>
      </c>
      <c r="B3525" s="1" t="n">
        <v>44370</v>
      </c>
      <c r="C3525" s="1" t="n">
        <v>45210</v>
      </c>
      <c r="D3525" t="inlineStr">
        <is>
          <t>DALARNAS LÄN</t>
        </is>
      </c>
      <c r="E3525" t="inlineStr">
        <is>
          <t>LUDVIKA</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32158-2021</t>
        </is>
      </c>
      <c r="B3526" s="1" t="n">
        <v>44371</v>
      </c>
      <c r="C3526" s="1" t="n">
        <v>45210</v>
      </c>
      <c r="D3526" t="inlineStr">
        <is>
          <t>DALARNAS LÄN</t>
        </is>
      </c>
      <c r="E3526" t="inlineStr">
        <is>
          <t>VANSBRO</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32301-2021</t>
        </is>
      </c>
      <c r="B3527" s="1" t="n">
        <v>44371</v>
      </c>
      <c r="C3527" s="1" t="n">
        <v>45210</v>
      </c>
      <c r="D3527" t="inlineStr">
        <is>
          <t>DALARNAS LÄN</t>
        </is>
      </c>
      <c r="E3527" t="inlineStr">
        <is>
          <t>MALUNG-SÄLEN</t>
        </is>
      </c>
      <c r="G3527" t="n">
        <v>14.4</v>
      </c>
      <c r="H3527" t="n">
        <v>0</v>
      </c>
      <c r="I3527" t="n">
        <v>0</v>
      </c>
      <c r="J3527" t="n">
        <v>0</v>
      </c>
      <c r="K3527" t="n">
        <v>0</v>
      </c>
      <c r="L3527" t="n">
        <v>0</v>
      </c>
      <c r="M3527" t="n">
        <v>0</v>
      </c>
      <c r="N3527" t="n">
        <v>0</v>
      </c>
      <c r="O3527" t="n">
        <v>0</v>
      </c>
      <c r="P3527" t="n">
        <v>0</v>
      </c>
      <c r="Q3527" t="n">
        <v>0</v>
      </c>
      <c r="R3527" s="2" t="inlineStr"/>
    </row>
    <row r="3528" ht="15" customHeight="1">
      <c r="A3528" t="inlineStr">
        <is>
          <t>A 32362-2021</t>
        </is>
      </c>
      <c r="B3528" s="1" t="n">
        <v>44371</v>
      </c>
      <c r="C3528" s="1" t="n">
        <v>45210</v>
      </c>
      <c r="D3528" t="inlineStr">
        <is>
          <t>DALARNAS LÄN</t>
        </is>
      </c>
      <c r="E3528" t="inlineStr">
        <is>
          <t>ÄLVDALEN</t>
        </is>
      </c>
      <c r="F3528" t="inlineStr">
        <is>
          <t>Sveaskog</t>
        </is>
      </c>
      <c r="G3528" t="n">
        <v>3.7</v>
      </c>
      <c r="H3528" t="n">
        <v>0</v>
      </c>
      <c r="I3528" t="n">
        <v>0</v>
      </c>
      <c r="J3528" t="n">
        <v>0</v>
      </c>
      <c r="K3528" t="n">
        <v>0</v>
      </c>
      <c r="L3528" t="n">
        <v>0</v>
      </c>
      <c r="M3528" t="n">
        <v>0</v>
      </c>
      <c r="N3528" t="n">
        <v>0</v>
      </c>
      <c r="O3528" t="n">
        <v>0</v>
      </c>
      <c r="P3528" t="n">
        <v>0</v>
      </c>
      <c r="Q3528" t="n">
        <v>0</v>
      </c>
      <c r="R3528" s="2" t="inlineStr"/>
    </row>
    <row r="3529" ht="15" customHeight="1">
      <c r="A3529" t="inlineStr">
        <is>
          <t>A 32635-2021</t>
        </is>
      </c>
      <c r="B3529" s="1" t="n">
        <v>44374</v>
      </c>
      <c r="C3529" s="1" t="n">
        <v>45210</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33072-2021</t>
        </is>
      </c>
      <c r="B3530" s="1" t="n">
        <v>44375</v>
      </c>
      <c r="C3530" s="1" t="n">
        <v>45210</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32548-2021</t>
        </is>
      </c>
      <c r="B3531" s="1" t="n">
        <v>44375</v>
      </c>
      <c r="C3531" s="1" t="n">
        <v>45210</v>
      </c>
      <c r="D3531" t="inlineStr">
        <is>
          <t>DALARNAS LÄN</t>
        </is>
      </c>
      <c r="E3531" t="inlineStr">
        <is>
          <t>MALUNG-SÄLEN</t>
        </is>
      </c>
      <c r="G3531" t="n">
        <v>2.8</v>
      </c>
      <c r="H3531" t="n">
        <v>0</v>
      </c>
      <c r="I3531" t="n">
        <v>0</v>
      </c>
      <c r="J3531" t="n">
        <v>0</v>
      </c>
      <c r="K3531" t="n">
        <v>0</v>
      </c>
      <c r="L3531" t="n">
        <v>0</v>
      </c>
      <c r="M3531" t="n">
        <v>0</v>
      </c>
      <c r="N3531" t="n">
        <v>0</v>
      </c>
      <c r="O3531" t="n">
        <v>0</v>
      </c>
      <c r="P3531" t="n">
        <v>0</v>
      </c>
      <c r="Q3531" t="n">
        <v>0</v>
      </c>
      <c r="R3531" s="2" t="inlineStr"/>
    </row>
    <row r="3532" ht="15" customHeight="1">
      <c r="A3532" t="inlineStr">
        <is>
          <t>A 32863-2021</t>
        </is>
      </c>
      <c r="B3532" s="1" t="n">
        <v>44375</v>
      </c>
      <c r="C3532" s="1" t="n">
        <v>45210</v>
      </c>
      <c r="D3532" t="inlineStr">
        <is>
          <t>DALARNAS LÄN</t>
        </is>
      </c>
      <c r="E3532" t="inlineStr">
        <is>
          <t>MALUNG-SÄLEN</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33166-2021</t>
        </is>
      </c>
      <c r="B3533" s="1" t="n">
        <v>44376</v>
      </c>
      <c r="C3533" s="1" t="n">
        <v>45210</v>
      </c>
      <c r="D3533" t="inlineStr">
        <is>
          <t>DALARNAS LÄN</t>
        </is>
      </c>
      <c r="E3533" t="inlineStr">
        <is>
          <t>FALUN</t>
        </is>
      </c>
      <c r="F3533" t="inlineStr">
        <is>
          <t>Bergvik skog väst AB</t>
        </is>
      </c>
      <c r="G3533" t="n">
        <v>4.3</v>
      </c>
      <c r="H3533" t="n">
        <v>0</v>
      </c>
      <c r="I3533" t="n">
        <v>0</v>
      </c>
      <c r="J3533" t="n">
        <v>0</v>
      </c>
      <c r="K3533" t="n">
        <v>0</v>
      </c>
      <c r="L3533" t="n">
        <v>0</v>
      </c>
      <c r="M3533" t="n">
        <v>0</v>
      </c>
      <c r="N3533" t="n">
        <v>0</v>
      </c>
      <c r="O3533" t="n">
        <v>0</v>
      </c>
      <c r="P3533" t="n">
        <v>0</v>
      </c>
      <c r="Q3533" t="n">
        <v>0</v>
      </c>
      <c r="R3533" s="2" t="inlineStr"/>
    </row>
    <row r="3534" ht="15" customHeight="1">
      <c r="A3534" t="inlineStr">
        <is>
          <t>A 32977-2021</t>
        </is>
      </c>
      <c r="B3534" s="1" t="n">
        <v>44376</v>
      </c>
      <c r="C3534" s="1" t="n">
        <v>45210</v>
      </c>
      <c r="D3534" t="inlineStr">
        <is>
          <t>DALARNAS LÄN</t>
        </is>
      </c>
      <c r="E3534" t="inlineStr">
        <is>
          <t>BORLÄNGE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33034-2021</t>
        </is>
      </c>
      <c r="B3535" s="1" t="n">
        <v>44376</v>
      </c>
      <c r="C3535" s="1" t="n">
        <v>45210</v>
      </c>
      <c r="D3535" t="inlineStr">
        <is>
          <t>DALARNAS LÄN</t>
        </is>
      </c>
      <c r="E3535" t="inlineStr">
        <is>
          <t>GAGNEF</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33170-2021</t>
        </is>
      </c>
      <c r="B3536" s="1" t="n">
        <v>44376</v>
      </c>
      <c r="C3536" s="1" t="n">
        <v>45210</v>
      </c>
      <c r="D3536" t="inlineStr">
        <is>
          <t>DALARNAS LÄN</t>
        </is>
      </c>
      <c r="E3536" t="inlineStr">
        <is>
          <t>LEKSAND</t>
        </is>
      </c>
      <c r="F3536" t="inlineStr">
        <is>
          <t>Bergvik skog väst AB</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33248-2021</t>
        </is>
      </c>
      <c r="B3537" s="1" t="n">
        <v>44377</v>
      </c>
      <c r="C3537" s="1" t="n">
        <v>45210</v>
      </c>
      <c r="D3537" t="inlineStr">
        <is>
          <t>DALARNAS LÄN</t>
        </is>
      </c>
      <c r="E3537" t="inlineStr">
        <is>
          <t>RÄTTVIK</t>
        </is>
      </c>
      <c r="F3537" t="inlineStr">
        <is>
          <t>Kyrkan</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33505-2021</t>
        </is>
      </c>
      <c r="B3538" s="1" t="n">
        <v>44377</v>
      </c>
      <c r="C3538" s="1" t="n">
        <v>45210</v>
      </c>
      <c r="D3538" t="inlineStr">
        <is>
          <t>DALARNAS LÄN</t>
        </is>
      </c>
      <c r="E3538" t="inlineStr">
        <is>
          <t>LUDVIKA</t>
        </is>
      </c>
      <c r="F3538" t="inlineStr">
        <is>
          <t>Bergvik skog väst AB</t>
        </is>
      </c>
      <c r="G3538" t="n">
        <v>3.4</v>
      </c>
      <c r="H3538" t="n">
        <v>0</v>
      </c>
      <c r="I3538" t="n">
        <v>0</v>
      </c>
      <c r="J3538" t="n">
        <v>0</v>
      </c>
      <c r="K3538" t="n">
        <v>0</v>
      </c>
      <c r="L3538" t="n">
        <v>0</v>
      </c>
      <c r="M3538" t="n">
        <v>0</v>
      </c>
      <c r="N3538" t="n">
        <v>0</v>
      </c>
      <c r="O3538" t="n">
        <v>0</v>
      </c>
      <c r="P3538" t="n">
        <v>0</v>
      </c>
      <c r="Q3538" t="n">
        <v>0</v>
      </c>
      <c r="R3538" s="2" t="inlineStr"/>
    </row>
    <row r="3539" ht="15" customHeight="1">
      <c r="A3539" t="inlineStr">
        <is>
          <t>A 33533-2021</t>
        </is>
      </c>
      <c r="B3539" s="1" t="n">
        <v>44377</v>
      </c>
      <c r="C3539" s="1" t="n">
        <v>45210</v>
      </c>
      <c r="D3539" t="inlineStr">
        <is>
          <t>DALARNAS LÄN</t>
        </is>
      </c>
      <c r="E3539" t="inlineStr">
        <is>
          <t>RÄTTVIK</t>
        </is>
      </c>
      <c r="F3539" t="inlineStr">
        <is>
          <t>Kyrkan</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33265-2021</t>
        </is>
      </c>
      <c r="B3540" s="1" t="n">
        <v>44377</v>
      </c>
      <c r="C3540" s="1" t="n">
        <v>45210</v>
      </c>
      <c r="D3540" t="inlineStr">
        <is>
          <t>DALARNAS LÄN</t>
        </is>
      </c>
      <c r="E3540" t="inlineStr">
        <is>
          <t>ORSA</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33460-2021</t>
        </is>
      </c>
      <c r="B3541" s="1" t="n">
        <v>44377</v>
      </c>
      <c r="C3541" s="1" t="n">
        <v>45210</v>
      </c>
      <c r="D3541" t="inlineStr">
        <is>
          <t>DALARNAS LÄN</t>
        </is>
      </c>
      <c r="E3541" t="inlineStr">
        <is>
          <t>BORLÄNGE</t>
        </is>
      </c>
      <c r="F3541" t="inlineStr">
        <is>
          <t>Bergvik skog väst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33480-2021</t>
        </is>
      </c>
      <c r="B3542" s="1" t="n">
        <v>44377</v>
      </c>
      <c r="C3542" s="1" t="n">
        <v>45210</v>
      </c>
      <c r="D3542" t="inlineStr">
        <is>
          <t>DALARNAS LÄN</t>
        </is>
      </c>
      <c r="E3542" t="inlineStr">
        <is>
          <t>ORSA</t>
        </is>
      </c>
      <c r="F3542" t="inlineStr">
        <is>
          <t>Bergvik skog öst AB</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33400-2021</t>
        </is>
      </c>
      <c r="B3543" s="1" t="n">
        <v>44377</v>
      </c>
      <c r="C3543" s="1" t="n">
        <v>45210</v>
      </c>
      <c r="D3543" t="inlineStr">
        <is>
          <t>DALARNAS LÄN</t>
        </is>
      </c>
      <c r="E3543" t="inlineStr">
        <is>
          <t>RÄTTVIK</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33416-2021</t>
        </is>
      </c>
      <c r="B3544" s="1" t="n">
        <v>44377</v>
      </c>
      <c r="C3544" s="1" t="n">
        <v>45210</v>
      </c>
      <c r="D3544" t="inlineStr">
        <is>
          <t>DALARNAS LÄN</t>
        </is>
      </c>
      <c r="E3544" t="inlineStr">
        <is>
          <t>LUDVIKA</t>
        </is>
      </c>
      <c r="F3544" t="inlineStr">
        <is>
          <t>Bergvik skog väst AB</t>
        </is>
      </c>
      <c r="G3544" t="n">
        <v>8</v>
      </c>
      <c r="H3544" t="n">
        <v>0</v>
      </c>
      <c r="I3544" t="n">
        <v>0</v>
      </c>
      <c r="J3544" t="n">
        <v>0</v>
      </c>
      <c r="K3544" t="n">
        <v>0</v>
      </c>
      <c r="L3544" t="n">
        <v>0</v>
      </c>
      <c r="M3544" t="n">
        <v>0</v>
      </c>
      <c r="N3544" t="n">
        <v>0</v>
      </c>
      <c r="O3544" t="n">
        <v>0</v>
      </c>
      <c r="P3544" t="n">
        <v>0</v>
      </c>
      <c r="Q3544" t="n">
        <v>0</v>
      </c>
      <c r="R3544" s="2" t="inlineStr"/>
    </row>
    <row r="3545" ht="15" customHeight="1">
      <c r="A3545" t="inlineStr">
        <is>
          <t>A 33689-2021</t>
        </is>
      </c>
      <c r="B3545" s="1" t="n">
        <v>44378</v>
      </c>
      <c r="C3545" s="1" t="n">
        <v>45210</v>
      </c>
      <c r="D3545" t="inlineStr">
        <is>
          <t>DALARNAS LÄN</t>
        </is>
      </c>
      <c r="E3545" t="inlineStr">
        <is>
          <t>ÄLVDALEN</t>
        </is>
      </c>
      <c r="F3545" t="inlineStr">
        <is>
          <t>Bergvik skog väst AB</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34009-2021</t>
        </is>
      </c>
      <c r="B3546" s="1" t="n">
        <v>44378</v>
      </c>
      <c r="C3546" s="1" t="n">
        <v>45210</v>
      </c>
      <c r="D3546" t="inlineStr">
        <is>
          <t>DALARNAS LÄN</t>
        </is>
      </c>
      <c r="E3546" t="inlineStr">
        <is>
          <t>SÄTER</t>
        </is>
      </c>
      <c r="F3546" t="inlineStr">
        <is>
          <t>Bergvik skog väst AB</t>
        </is>
      </c>
      <c r="G3546" t="n">
        <v>22.5</v>
      </c>
      <c r="H3546" t="n">
        <v>0</v>
      </c>
      <c r="I3546" t="n">
        <v>0</v>
      </c>
      <c r="J3546" t="n">
        <v>0</v>
      </c>
      <c r="K3546" t="n">
        <v>0</v>
      </c>
      <c r="L3546" t="n">
        <v>0</v>
      </c>
      <c r="M3546" t="n">
        <v>0</v>
      </c>
      <c r="N3546" t="n">
        <v>0</v>
      </c>
      <c r="O3546" t="n">
        <v>0</v>
      </c>
      <c r="P3546" t="n">
        <v>0</v>
      </c>
      <c r="Q3546" t="n">
        <v>0</v>
      </c>
      <c r="R3546" s="2" t="inlineStr"/>
    </row>
    <row r="3547" ht="15" customHeight="1">
      <c r="A3547" t="inlineStr">
        <is>
          <t>A 33690-2021</t>
        </is>
      </c>
      <c r="B3547" s="1" t="n">
        <v>44378</v>
      </c>
      <c r="C3547" s="1" t="n">
        <v>45210</v>
      </c>
      <c r="D3547" t="inlineStr">
        <is>
          <t>DALARNAS LÄN</t>
        </is>
      </c>
      <c r="E3547" t="inlineStr">
        <is>
          <t>ÄLVDALEN</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33754-2021</t>
        </is>
      </c>
      <c r="B3548" s="1" t="n">
        <v>44378</v>
      </c>
      <c r="C3548" s="1" t="n">
        <v>45210</v>
      </c>
      <c r="D3548" t="inlineStr">
        <is>
          <t>DALARNAS LÄN</t>
        </is>
      </c>
      <c r="E3548" t="inlineStr">
        <is>
          <t>GAGNEF</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34322-2021</t>
        </is>
      </c>
      <c r="B3549" s="1" t="n">
        <v>44379</v>
      </c>
      <c r="C3549" s="1" t="n">
        <v>45210</v>
      </c>
      <c r="D3549" t="inlineStr">
        <is>
          <t>DALARNAS LÄN</t>
        </is>
      </c>
      <c r="E3549" t="inlineStr">
        <is>
          <t>GAGNEF</t>
        </is>
      </c>
      <c r="G3549" t="n">
        <v>9.4</v>
      </c>
      <c r="H3549" t="n">
        <v>0</v>
      </c>
      <c r="I3549" t="n">
        <v>0</v>
      </c>
      <c r="J3549" t="n">
        <v>0</v>
      </c>
      <c r="K3549" t="n">
        <v>0</v>
      </c>
      <c r="L3549" t="n">
        <v>0</v>
      </c>
      <c r="M3549" t="n">
        <v>0</v>
      </c>
      <c r="N3549" t="n">
        <v>0</v>
      </c>
      <c r="O3549" t="n">
        <v>0</v>
      </c>
      <c r="P3549" t="n">
        <v>0</v>
      </c>
      <c r="Q3549" t="n">
        <v>0</v>
      </c>
      <c r="R3549" s="2" t="inlineStr"/>
    </row>
    <row r="3550" ht="15" customHeight="1">
      <c r="A3550" t="inlineStr">
        <is>
          <t>A 34087-2021</t>
        </is>
      </c>
      <c r="B3550" s="1" t="n">
        <v>44379</v>
      </c>
      <c r="C3550" s="1" t="n">
        <v>45210</v>
      </c>
      <c r="D3550" t="inlineStr">
        <is>
          <t>DALARNAS LÄN</t>
        </is>
      </c>
      <c r="E3550" t="inlineStr">
        <is>
          <t>BORLÄNGE</t>
        </is>
      </c>
      <c r="G3550" t="n">
        <v>3.3</v>
      </c>
      <c r="H3550" t="n">
        <v>0</v>
      </c>
      <c r="I3550" t="n">
        <v>0</v>
      </c>
      <c r="J3550" t="n">
        <v>0</v>
      </c>
      <c r="K3550" t="n">
        <v>0</v>
      </c>
      <c r="L3550" t="n">
        <v>0</v>
      </c>
      <c r="M3550" t="n">
        <v>0</v>
      </c>
      <c r="N3550" t="n">
        <v>0</v>
      </c>
      <c r="O3550" t="n">
        <v>0</v>
      </c>
      <c r="P3550" t="n">
        <v>0</v>
      </c>
      <c r="Q3550" t="n">
        <v>0</v>
      </c>
      <c r="R3550" s="2" t="inlineStr"/>
    </row>
    <row r="3551" ht="15" customHeight="1">
      <c r="A3551" t="inlineStr">
        <is>
          <t>A 34091-2021</t>
        </is>
      </c>
      <c r="B3551" s="1" t="n">
        <v>44379</v>
      </c>
      <c r="C3551" s="1" t="n">
        <v>45210</v>
      </c>
      <c r="D3551" t="inlineStr">
        <is>
          <t>DALARNAS LÄN</t>
        </is>
      </c>
      <c r="E3551" t="inlineStr">
        <is>
          <t>MALUNG-SÄLEN</t>
        </is>
      </c>
      <c r="G3551" t="n">
        <v>3.7</v>
      </c>
      <c r="H3551" t="n">
        <v>0</v>
      </c>
      <c r="I3551" t="n">
        <v>0</v>
      </c>
      <c r="J3551" t="n">
        <v>0</v>
      </c>
      <c r="K3551" t="n">
        <v>0</v>
      </c>
      <c r="L3551" t="n">
        <v>0</v>
      </c>
      <c r="M3551" t="n">
        <v>0</v>
      </c>
      <c r="N3551" t="n">
        <v>0</v>
      </c>
      <c r="O3551" t="n">
        <v>0</v>
      </c>
      <c r="P3551" t="n">
        <v>0</v>
      </c>
      <c r="Q3551" t="n">
        <v>0</v>
      </c>
      <c r="R3551" s="2" t="inlineStr"/>
    </row>
    <row r="3552" ht="15" customHeight="1">
      <c r="A3552" t="inlineStr">
        <is>
          <t>A 34107-2021</t>
        </is>
      </c>
      <c r="B3552" s="1" t="n">
        <v>44379</v>
      </c>
      <c r="C3552" s="1" t="n">
        <v>45210</v>
      </c>
      <c r="D3552" t="inlineStr">
        <is>
          <t>DALARNAS LÄN</t>
        </is>
      </c>
      <c r="E3552" t="inlineStr">
        <is>
          <t>BORLÄNGE</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34670-2021</t>
        </is>
      </c>
      <c r="B3553" s="1" t="n">
        <v>44382</v>
      </c>
      <c r="C3553" s="1" t="n">
        <v>45210</v>
      </c>
      <c r="D3553" t="inlineStr">
        <is>
          <t>DALARNAS LÄN</t>
        </is>
      </c>
      <c r="E3553" t="inlineStr">
        <is>
          <t>FALUN</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34708-2021</t>
        </is>
      </c>
      <c r="B3554" s="1" t="n">
        <v>44382</v>
      </c>
      <c r="C3554" s="1" t="n">
        <v>45210</v>
      </c>
      <c r="D3554" t="inlineStr">
        <is>
          <t>DALARNAS LÄN</t>
        </is>
      </c>
      <c r="E3554" t="inlineStr">
        <is>
          <t>ORSA</t>
        </is>
      </c>
      <c r="G3554" t="n">
        <v>4.3</v>
      </c>
      <c r="H3554" t="n">
        <v>0</v>
      </c>
      <c r="I3554" t="n">
        <v>0</v>
      </c>
      <c r="J3554" t="n">
        <v>0</v>
      </c>
      <c r="K3554" t="n">
        <v>0</v>
      </c>
      <c r="L3554" t="n">
        <v>0</v>
      </c>
      <c r="M3554" t="n">
        <v>0</v>
      </c>
      <c r="N3554" t="n">
        <v>0</v>
      </c>
      <c r="O3554" t="n">
        <v>0</v>
      </c>
      <c r="P3554" t="n">
        <v>0</v>
      </c>
      <c r="Q3554" t="n">
        <v>0</v>
      </c>
      <c r="R3554" s="2" t="inlineStr"/>
    </row>
    <row r="3555" ht="15" customHeight="1">
      <c r="A3555" t="inlineStr">
        <is>
          <t>A 34713-2021</t>
        </is>
      </c>
      <c r="B3555" s="1" t="n">
        <v>44382</v>
      </c>
      <c r="C3555" s="1" t="n">
        <v>45210</v>
      </c>
      <c r="D3555" t="inlineStr">
        <is>
          <t>DALARNAS LÄN</t>
        </is>
      </c>
      <c r="E3555" t="inlineStr">
        <is>
          <t>ORSA</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34715-2021</t>
        </is>
      </c>
      <c r="B3556" s="1" t="n">
        <v>44382</v>
      </c>
      <c r="C3556" s="1" t="n">
        <v>45210</v>
      </c>
      <c r="D3556" t="inlineStr">
        <is>
          <t>DALARNAS LÄN</t>
        </is>
      </c>
      <c r="E3556" t="inlineStr">
        <is>
          <t>MORA</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35005-2021</t>
        </is>
      </c>
      <c r="B3557" s="1" t="n">
        <v>44383</v>
      </c>
      <c r="C3557" s="1" t="n">
        <v>45210</v>
      </c>
      <c r="D3557" t="inlineStr">
        <is>
          <t>DALARNAS LÄN</t>
        </is>
      </c>
      <c r="E3557" t="inlineStr">
        <is>
          <t>MORA</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34890-2021</t>
        </is>
      </c>
      <c r="B3558" s="1" t="n">
        <v>44383</v>
      </c>
      <c r="C3558" s="1" t="n">
        <v>45210</v>
      </c>
      <c r="D3558" t="inlineStr">
        <is>
          <t>DALARNAS LÄN</t>
        </is>
      </c>
      <c r="E3558" t="inlineStr">
        <is>
          <t>FALUN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36356-2021</t>
        </is>
      </c>
      <c r="B3559" s="1" t="n">
        <v>44384</v>
      </c>
      <c r="C3559" s="1" t="n">
        <v>45210</v>
      </c>
      <c r="D3559" t="inlineStr">
        <is>
          <t>DALARNAS LÄN</t>
        </is>
      </c>
      <c r="E3559" t="inlineStr">
        <is>
          <t>BORLÄNGE</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35231-2021</t>
        </is>
      </c>
      <c r="B3560" s="1" t="n">
        <v>44384</v>
      </c>
      <c r="C3560" s="1" t="n">
        <v>45210</v>
      </c>
      <c r="D3560" t="inlineStr">
        <is>
          <t>DALARNAS LÄN</t>
        </is>
      </c>
      <c r="E3560" t="inlineStr">
        <is>
          <t>FALUN</t>
        </is>
      </c>
      <c r="F3560" t="inlineStr">
        <is>
          <t>Bergvik skog väst AB</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36349-2021</t>
        </is>
      </c>
      <c r="B3561" s="1" t="n">
        <v>44384</v>
      </c>
      <c r="C3561" s="1" t="n">
        <v>45210</v>
      </c>
      <c r="D3561" t="inlineStr">
        <is>
          <t>DALARNAS LÄN</t>
        </is>
      </c>
      <c r="E3561" t="inlineStr">
        <is>
          <t>BORLÄNGE</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35085-2021</t>
        </is>
      </c>
      <c r="B3562" s="1" t="n">
        <v>44384</v>
      </c>
      <c r="C3562" s="1" t="n">
        <v>45210</v>
      </c>
      <c r="D3562" t="inlineStr">
        <is>
          <t>DALARNAS LÄN</t>
        </is>
      </c>
      <c r="E3562" t="inlineStr">
        <is>
          <t>GAGNEF</t>
        </is>
      </c>
      <c r="G3562" t="n">
        <v>5.1</v>
      </c>
      <c r="H3562" t="n">
        <v>0</v>
      </c>
      <c r="I3562" t="n">
        <v>0</v>
      </c>
      <c r="J3562" t="n">
        <v>0</v>
      </c>
      <c r="K3562" t="n">
        <v>0</v>
      </c>
      <c r="L3562" t="n">
        <v>0</v>
      </c>
      <c r="M3562" t="n">
        <v>0</v>
      </c>
      <c r="N3562" t="n">
        <v>0</v>
      </c>
      <c r="O3562" t="n">
        <v>0</v>
      </c>
      <c r="P3562" t="n">
        <v>0</v>
      </c>
      <c r="Q3562" t="n">
        <v>0</v>
      </c>
      <c r="R3562" s="2" t="inlineStr"/>
    </row>
    <row r="3563" ht="15" customHeight="1">
      <c r="A3563" t="inlineStr">
        <is>
          <t>A 35237-2021</t>
        </is>
      </c>
      <c r="B3563" s="1" t="n">
        <v>44384</v>
      </c>
      <c r="C3563" s="1" t="n">
        <v>45210</v>
      </c>
      <c r="D3563" t="inlineStr">
        <is>
          <t>DALARNAS LÄN</t>
        </is>
      </c>
      <c r="E3563" t="inlineStr">
        <is>
          <t>BORLÄNGE</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35378-2021</t>
        </is>
      </c>
      <c r="B3564" s="1" t="n">
        <v>44385</v>
      </c>
      <c r="C3564" s="1" t="n">
        <v>45210</v>
      </c>
      <c r="D3564" t="inlineStr">
        <is>
          <t>DALARNAS LÄN</t>
        </is>
      </c>
      <c r="E3564" t="inlineStr">
        <is>
          <t>MALUNG-SÄLEN</t>
        </is>
      </c>
      <c r="F3564" t="inlineStr">
        <is>
          <t>Övriga statliga verk och myndigheter</t>
        </is>
      </c>
      <c r="G3564" t="n">
        <v>5.8</v>
      </c>
      <c r="H3564" t="n">
        <v>0</v>
      </c>
      <c r="I3564" t="n">
        <v>0</v>
      </c>
      <c r="J3564" t="n">
        <v>0</v>
      </c>
      <c r="K3564" t="n">
        <v>0</v>
      </c>
      <c r="L3564" t="n">
        <v>0</v>
      </c>
      <c r="M3564" t="n">
        <v>0</v>
      </c>
      <c r="N3564" t="n">
        <v>0</v>
      </c>
      <c r="O3564" t="n">
        <v>0</v>
      </c>
      <c r="P3564" t="n">
        <v>0</v>
      </c>
      <c r="Q3564" t="n">
        <v>0</v>
      </c>
      <c r="R3564" s="2" t="inlineStr"/>
    </row>
    <row r="3565" ht="15" customHeight="1">
      <c r="A3565" t="inlineStr">
        <is>
          <t>A 35720-2021</t>
        </is>
      </c>
      <c r="B3565" s="1" t="n">
        <v>44386</v>
      </c>
      <c r="C3565" s="1" t="n">
        <v>45210</v>
      </c>
      <c r="D3565" t="inlineStr">
        <is>
          <t>DALARNAS LÄN</t>
        </is>
      </c>
      <c r="E3565" t="inlineStr">
        <is>
          <t>LUDVIKA</t>
        </is>
      </c>
      <c r="F3565" t="inlineStr">
        <is>
          <t>Kyrkan</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35789-2021</t>
        </is>
      </c>
      <c r="B3566" s="1" t="n">
        <v>44386</v>
      </c>
      <c r="C3566" s="1" t="n">
        <v>45210</v>
      </c>
      <c r="D3566" t="inlineStr">
        <is>
          <t>DALARNAS LÄN</t>
        </is>
      </c>
      <c r="E3566" t="inlineStr">
        <is>
          <t>RÄTTVIK</t>
        </is>
      </c>
      <c r="F3566" t="inlineStr">
        <is>
          <t>Sveaskog</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35731-2021</t>
        </is>
      </c>
      <c r="B3567" s="1" t="n">
        <v>44386</v>
      </c>
      <c r="C3567" s="1" t="n">
        <v>45210</v>
      </c>
      <c r="D3567" t="inlineStr">
        <is>
          <t>DALARNAS LÄN</t>
        </is>
      </c>
      <c r="E3567" t="inlineStr">
        <is>
          <t>LUDVIKA</t>
        </is>
      </c>
      <c r="F3567" t="inlineStr">
        <is>
          <t>Kyrkan</t>
        </is>
      </c>
      <c r="G3567" t="n">
        <v>2.7</v>
      </c>
      <c r="H3567" t="n">
        <v>0</v>
      </c>
      <c r="I3567" t="n">
        <v>0</v>
      </c>
      <c r="J3567" t="n">
        <v>0</v>
      </c>
      <c r="K3567" t="n">
        <v>0</v>
      </c>
      <c r="L3567" t="n">
        <v>0</v>
      </c>
      <c r="M3567" t="n">
        <v>0</v>
      </c>
      <c r="N3567" t="n">
        <v>0</v>
      </c>
      <c r="O3567" t="n">
        <v>0</v>
      </c>
      <c r="P3567" t="n">
        <v>0</v>
      </c>
      <c r="Q3567" t="n">
        <v>0</v>
      </c>
      <c r="R3567" s="2" t="inlineStr"/>
    </row>
    <row r="3568" ht="15" customHeight="1">
      <c r="A3568" t="inlineStr">
        <is>
          <t>A 35788-2021</t>
        </is>
      </c>
      <c r="B3568" s="1" t="n">
        <v>44386</v>
      </c>
      <c r="C3568" s="1" t="n">
        <v>45210</v>
      </c>
      <c r="D3568" t="inlineStr">
        <is>
          <t>DALARNAS LÄN</t>
        </is>
      </c>
      <c r="E3568" t="inlineStr">
        <is>
          <t>RÄTTVIK</t>
        </is>
      </c>
      <c r="F3568" t="inlineStr">
        <is>
          <t>Sveaskog</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35855-2021</t>
        </is>
      </c>
      <c r="B3569" s="1" t="n">
        <v>44386</v>
      </c>
      <c r="C3569" s="1" t="n">
        <v>45210</v>
      </c>
      <c r="D3569" t="inlineStr">
        <is>
          <t>DALARNAS LÄN</t>
        </is>
      </c>
      <c r="E3569" t="inlineStr">
        <is>
          <t>AVESTA</t>
        </is>
      </c>
      <c r="F3569" t="inlineStr">
        <is>
          <t>Sveaskog</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35892-2021</t>
        </is>
      </c>
      <c r="B3570" s="1" t="n">
        <v>44387</v>
      </c>
      <c r="C3570" s="1" t="n">
        <v>45210</v>
      </c>
      <c r="D3570" t="inlineStr">
        <is>
          <t>DALARNAS LÄN</t>
        </is>
      </c>
      <c r="E3570" t="inlineStr">
        <is>
          <t>LUDVIKA</t>
        </is>
      </c>
      <c r="F3570" t="inlineStr">
        <is>
          <t>Kyrkan</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36269-2021</t>
        </is>
      </c>
      <c r="B3571" s="1" t="n">
        <v>44389</v>
      </c>
      <c r="C3571" s="1" t="n">
        <v>45210</v>
      </c>
      <c r="D3571" t="inlineStr">
        <is>
          <t>DALARNAS LÄN</t>
        </is>
      </c>
      <c r="E3571" t="inlineStr">
        <is>
          <t>BORLÄNGE</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36261-2021</t>
        </is>
      </c>
      <c r="B3572" s="1" t="n">
        <v>44389</v>
      </c>
      <c r="C3572" s="1" t="n">
        <v>45210</v>
      </c>
      <c r="D3572" t="inlineStr">
        <is>
          <t>DALARNAS LÄN</t>
        </is>
      </c>
      <c r="E3572" t="inlineStr">
        <is>
          <t>BORLÄNGE</t>
        </is>
      </c>
      <c r="G3572" t="n">
        <v>3.9</v>
      </c>
      <c r="H3572" t="n">
        <v>0</v>
      </c>
      <c r="I3572" t="n">
        <v>0</v>
      </c>
      <c r="J3572" t="n">
        <v>0</v>
      </c>
      <c r="K3572" t="n">
        <v>0</v>
      </c>
      <c r="L3572" t="n">
        <v>0</v>
      </c>
      <c r="M3572" t="n">
        <v>0</v>
      </c>
      <c r="N3572" t="n">
        <v>0</v>
      </c>
      <c r="O3572" t="n">
        <v>0</v>
      </c>
      <c r="P3572" t="n">
        <v>0</v>
      </c>
      <c r="Q3572" t="n">
        <v>0</v>
      </c>
      <c r="R3572" s="2" t="inlineStr"/>
    </row>
    <row r="3573" ht="15" customHeight="1">
      <c r="A3573" t="inlineStr">
        <is>
          <t>A 36132-2021</t>
        </is>
      </c>
      <c r="B3573" s="1" t="n">
        <v>44389</v>
      </c>
      <c r="C3573" s="1" t="n">
        <v>45210</v>
      </c>
      <c r="D3573" t="inlineStr">
        <is>
          <t>DALARNAS LÄN</t>
        </is>
      </c>
      <c r="E3573" t="inlineStr">
        <is>
          <t>FALUN</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36184-2021</t>
        </is>
      </c>
      <c r="B3574" s="1" t="n">
        <v>44389</v>
      </c>
      <c r="C3574" s="1" t="n">
        <v>45210</v>
      </c>
      <c r="D3574" t="inlineStr">
        <is>
          <t>DALARNAS LÄN</t>
        </is>
      </c>
      <c r="E3574" t="inlineStr">
        <is>
          <t>MORA</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36393-2021</t>
        </is>
      </c>
      <c r="B3575" s="1" t="n">
        <v>44390</v>
      </c>
      <c r="C3575" s="1" t="n">
        <v>45210</v>
      </c>
      <c r="D3575" t="inlineStr">
        <is>
          <t>DALARNAS LÄN</t>
        </is>
      </c>
      <c r="E3575" t="inlineStr">
        <is>
          <t>SMEDJEBACKEN</t>
        </is>
      </c>
      <c r="F3575" t="inlineStr">
        <is>
          <t>Bergvik skog väst AB</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36360-2021</t>
        </is>
      </c>
      <c r="B3576" s="1" t="n">
        <v>44390</v>
      </c>
      <c r="C3576" s="1" t="n">
        <v>45210</v>
      </c>
      <c r="D3576" t="inlineStr">
        <is>
          <t>DALARNAS LÄN</t>
        </is>
      </c>
      <c r="E3576" t="inlineStr">
        <is>
          <t>SMEDJEBACKEN</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36574-2021</t>
        </is>
      </c>
      <c r="B3577" s="1" t="n">
        <v>44391</v>
      </c>
      <c r="C3577" s="1" t="n">
        <v>45210</v>
      </c>
      <c r="D3577" t="inlineStr">
        <is>
          <t>DALARNAS LÄN</t>
        </is>
      </c>
      <c r="E3577" t="inlineStr">
        <is>
          <t>ÄLVDALEN</t>
        </is>
      </c>
      <c r="F3577" t="inlineStr">
        <is>
          <t>Sveaskog</t>
        </is>
      </c>
      <c r="G3577" t="n">
        <v>26.2</v>
      </c>
      <c r="H3577" t="n">
        <v>0</v>
      </c>
      <c r="I3577" t="n">
        <v>0</v>
      </c>
      <c r="J3577" t="n">
        <v>0</v>
      </c>
      <c r="K3577" t="n">
        <v>0</v>
      </c>
      <c r="L3577" t="n">
        <v>0</v>
      </c>
      <c r="M3577" t="n">
        <v>0</v>
      </c>
      <c r="N3577" t="n">
        <v>0</v>
      </c>
      <c r="O3577" t="n">
        <v>0</v>
      </c>
      <c r="P3577" t="n">
        <v>0</v>
      </c>
      <c r="Q3577" t="n">
        <v>0</v>
      </c>
      <c r="R3577" s="2" t="inlineStr"/>
    </row>
    <row r="3578" ht="15" customHeight="1">
      <c r="A3578" t="inlineStr">
        <is>
          <t>A 36569-2021</t>
        </is>
      </c>
      <c r="B3578" s="1" t="n">
        <v>44391</v>
      </c>
      <c r="C3578" s="1" t="n">
        <v>45210</v>
      </c>
      <c r="D3578" t="inlineStr">
        <is>
          <t>DALARNAS LÄN</t>
        </is>
      </c>
      <c r="E3578" t="inlineStr">
        <is>
          <t>ORSA</t>
        </is>
      </c>
      <c r="G3578" t="n">
        <v>8.800000000000001</v>
      </c>
      <c r="H3578" t="n">
        <v>0</v>
      </c>
      <c r="I3578" t="n">
        <v>0</v>
      </c>
      <c r="J3578" t="n">
        <v>0</v>
      </c>
      <c r="K3578" t="n">
        <v>0</v>
      </c>
      <c r="L3578" t="n">
        <v>0</v>
      </c>
      <c r="M3578" t="n">
        <v>0</v>
      </c>
      <c r="N3578" t="n">
        <v>0</v>
      </c>
      <c r="O3578" t="n">
        <v>0</v>
      </c>
      <c r="P3578" t="n">
        <v>0</v>
      </c>
      <c r="Q3578" t="n">
        <v>0</v>
      </c>
      <c r="R3578" s="2" t="inlineStr"/>
    </row>
    <row r="3579" ht="15" customHeight="1">
      <c r="A3579" t="inlineStr">
        <is>
          <t>A 36671-2021</t>
        </is>
      </c>
      <c r="B3579" s="1" t="n">
        <v>44392</v>
      </c>
      <c r="C3579" s="1" t="n">
        <v>45210</v>
      </c>
      <c r="D3579" t="inlineStr">
        <is>
          <t>DALARNAS LÄN</t>
        </is>
      </c>
      <c r="E3579" t="inlineStr">
        <is>
          <t>ÄLVDALEN</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36826-2021</t>
        </is>
      </c>
      <c r="B3580" s="1" t="n">
        <v>44393</v>
      </c>
      <c r="C3580" s="1" t="n">
        <v>45210</v>
      </c>
      <c r="D3580" t="inlineStr">
        <is>
          <t>DALARNAS LÄN</t>
        </is>
      </c>
      <c r="E3580" t="inlineStr">
        <is>
          <t>ÄLVDALEN</t>
        </is>
      </c>
      <c r="F3580" t="inlineStr">
        <is>
          <t>Sveaskog</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36863-2021</t>
        </is>
      </c>
      <c r="B3581" s="1" t="n">
        <v>44393</v>
      </c>
      <c r="C3581" s="1" t="n">
        <v>45210</v>
      </c>
      <c r="D3581" t="inlineStr">
        <is>
          <t>DALARNAS LÄN</t>
        </is>
      </c>
      <c r="E3581" t="inlineStr">
        <is>
          <t>BORLÄNGE</t>
        </is>
      </c>
      <c r="G3581" t="n">
        <v>5.5</v>
      </c>
      <c r="H3581" t="n">
        <v>0</v>
      </c>
      <c r="I3581" t="n">
        <v>0</v>
      </c>
      <c r="J3581" t="n">
        <v>0</v>
      </c>
      <c r="K3581" t="n">
        <v>0</v>
      </c>
      <c r="L3581" t="n">
        <v>0</v>
      </c>
      <c r="M3581" t="n">
        <v>0</v>
      </c>
      <c r="N3581" t="n">
        <v>0</v>
      </c>
      <c r="O3581" t="n">
        <v>0</v>
      </c>
      <c r="P3581" t="n">
        <v>0</v>
      </c>
      <c r="Q3581" t="n">
        <v>0</v>
      </c>
      <c r="R3581" s="2" t="inlineStr"/>
    </row>
    <row r="3582" ht="15" customHeight="1">
      <c r="A3582" t="inlineStr">
        <is>
          <t>A 36824-2021</t>
        </is>
      </c>
      <c r="B3582" s="1" t="n">
        <v>44393</v>
      </c>
      <c r="C3582" s="1" t="n">
        <v>45210</v>
      </c>
      <c r="D3582" t="inlineStr">
        <is>
          <t>DALARNAS LÄN</t>
        </is>
      </c>
      <c r="E3582" t="inlineStr">
        <is>
          <t>ÄLVDALEN</t>
        </is>
      </c>
      <c r="F3582" t="inlineStr">
        <is>
          <t>Sveaskog</t>
        </is>
      </c>
      <c r="G3582" t="n">
        <v>8.300000000000001</v>
      </c>
      <c r="H3582" t="n">
        <v>0</v>
      </c>
      <c r="I3582" t="n">
        <v>0</v>
      </c>
      <c r="J3582" t="n">
        <v>0</v>
      </c>
      <c r="K3582" t="n">
        <v>0</v>
      </c>
      <c r="L3582" t="n">
        <v>0</v>
      </c>
      <c r="M3582" t="n">
        <v>0</v>
      </c>
      <c r="N3582" t="n">
        <v>0</v>
      </c>
      <c r="O3582" t="n">
        <v>0</v>
      </c>
      <c r="P3582" t="n">
        <v>0</v>
      </c>
      <c r="Q3582" t="n">
        <v>0</v>
      </c>
      <c r="R3582" s="2" t="inlineStr"/>
    </row>
    <row r="3583" ht="15" customHeight="1">
      <c r="A3583" t="inlineStr">
        <is>
          <t>A 36846-2021</t>
        </is>
      </c>
      <c r="B3583" s="1" t="n">
        <v>44393</v>
      </c>
      <c r="C3583" s="1" t="n">
        <v>45210</v>
      </c>
      <c r="D3583" t="inlineStr">
        <is>
          <t>DALARNAS LÄN</t>
        </is>
      </c>
      <c r="E3583" t="inlineStr">
        <is>
          <t>ÄLVDALEN</t>
        </is>
      </c>
      <c r="F3583" t="inlineStr">
        <is>
          <t>Sveaskog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36860-2021</t>
        </is>
      </c>
      <c r="B3584" s="1" t="n">
        <v>44393</v>
      </c>
      <c r="C3584" s="1" t="n">
        <v>45210</v>
      </c>
      <c r="D3584" t="inlineStr">
        <is>
          <t>DALARNAS LÄN</t>
        </is>
      </c>
      <c r="E3584" t="inlineStr">
        <is>
          <t>BORLÄNGE</t>
        </is>
      </c>
      <c r="G3584" t="n">
        <v>2.9</v>
      </c>
      <c r="H3584" t="n">
        <v>0</v>
      </c>
      <c r="I3584" t="n">
        <v>0</v>
      </c>
      <c r="J3584" t="n">
        <v>0</v>
      </c>
      <c r="K3584" t="n">
        <v>0</v>
      </c>
      <c r="L3584" t="n">
        <v>0</v>
      </c>
      <c r="M3584" t="n">
        <v>0</v>
      </c>
      <c r="N3584" t="n">
        <v>0</v>
      </c>
      <c r="O3584" t="n">
        <v>0</v>
      </c>
      <c r="P3584" t="n">
        <v>0</v>
      </c>
      <c r="Q3584" t="n">
        <v>0</v>
      </c>
      <c r="R3584" s="2" t="inlineStr"/>
    </row>
    <row r="3585" ht="15" customHeight="1">
      <c r="A3585" t="inlineStr">
        <is>
          <t>A 36825-2021</t>
        </is>
      </c>
      <c r="B3585" s="1" t="n">
        <v>44393</v>
      </c>
      <c r="C3585" s="1" t="n">
        <v>45210</v>
      </c>
      <c r="D3585" t="inlineStr">
        <is>
          <t>DALARNAS LÄN</t>
        </is>
      </c>
      <c r="E3585" t="inlineStr">
        <is>
          <t>ÄLVDALEN</t>
        </is>
      </c>
      <c r="F3585" t="inlineStr">
        <is>
          <t>Sveaskog</t>
        </is>
      </c>
      <c r="G3585" t="n">
        <v>12.2</v>
      </c>
      <c r="H3585" t="n">
        <v>0</v>
      </c>
      <c r="I3585" t="n">
        <v>0</v>
      </c>
      <c r="J3585" t="n">
        <v>0</v>
      </c>
      <c r="K3585" t="n">
        <v>0</v>
      </c>
      <c r="L3585" t="n">
        <v>0</v>
      </c>
      <c r="M3585" t="n">
        <v>0</v>
      </c>
      <c r="N3585" t="n">
        <v>0</v>
      </c>
      <c r="O3585" t="n">
        <v>0</v>
      </c>
      <c r="P3585" t="n">
        <v>0</v>
      </c>
      <c r="Q3585" t="n">
        <v>0</v>
      </c>
      <c r="R3585" s="2" t="inlineStr"/>
    </row>
    <row r="3586" ht="15" customHeight="1">
      <c r="A3586" t="inlineStr">
        <is>
          <t>A 36862-2021</t>
        </is>
      </c>
      <c r="B3586" s="1" t="n">
        <v>44393</v>
      </c>
      <c r="C3586" s="1" t="n">
        <v>45210</v>
      </c>
      <c r="D3586" t="inlineStr">
        <is>
          <t>DALARNAS LÄN</t>
        </is>
      </c>
      <c r="E3586" t="inlineStr">
        <is>
          <t>LUDVIKA</t>
        </is>
      </c>
      <c r="F3586" t="inlineStr">
        <is>
          <t>Bergvik skog väst AB</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37073-2021</t>
        </is>
      </c>
      <c r="B3587" s="1" t="n">
        <v>44394</v>
      </c>
      <c r="C3587" s="1" t="n">
        <v>45210</v>
      </c>
      <c r="D3587" t="inlineStr">
        <is>
          <t>DALARNAS LÄN</t>
        </is>
      </c>
      <c r="E3587" t="inlineStr">
        <is>
          <t>LEKSAND</t>
        </is>
      </c>
      <c r="F3587" t="inlineStr">
        <is>
          <t>Bergvik skog väst AB</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37131-2021</t>
        </is>
      </c>
      <c r="B3588" s="1" t="n">
        <v>44396</v>
      </c>
      <c r="C3588" s="1" t="n">
        <v>45210</v>
      </c>
      <c r="D3588" t="inlineStr">
        <is>
          <t>DALARNAS LÄN</t>
        </is>
      </c>
      <c r="E3588" t="inlineStr">
        <is>
          <t>GAGNEF</t>
        </is>
      </c>
      <c r="G3588" t="n">
        <v>1.8</v>
      </c>
      <c r="H3588" t="n">
        <v>0</v>
      </c>
      <c r="I3588" t="n">
        <v>0</v>
      </c>
      <c r="J3588" t="n">
        <v>0</v>
      </c>
      <c r="K3588" t="n">
        <v>0</v>
      </c>
      <c r="L3588" t="n">
        <v>0</v>
      </c>
      <c r="M3588" t="n">
        <v>0</v>
      </c>
      <c r="N3588" t="n">
        <v>0</v>
      </c>
      <c r="O3588" t="n">
        <v>0</v>
      </c>
      <c r="P3588" t="n">
        <v>0</v>
      </c>
      <c r="Q3588" t="n">
        <v>0</v>
      </c>
      <c r="R3588" s="2" t="inlineStr"/>
    </row>
    <row r="3589" ht="15" customHeight="1">
      <c r="A3589" t="inlineStr">
        <is>
          <t>A 37245-2021</t>
        </is>
      </c>
      <c r="B3589" s="1" t="n">
        <v>44396</v>
      </c>
      <c r="C3589" s="1" t="n">
        <v>45210</v>
      </c>
      <c r="D3589" t="inlineStr">
        <is>
          <t>DALARNAS LÄN</t>
        </is>
      </c>
      <c r="E3589" t="inlineStr">
        <is>
          <t>GAGNEF</t>
        </is>
      </c>
      <c r="G3589" t="n">
        <v>9.199999999999999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37246-2021</t>
        </is>
      </c>
      <c r="B3590" s="1" t="n">
        <v>44396</v>
      </c>
      <c r="C3590" s="1" t="n">
        <v>45210</v>
      </c>
      <c r="D3590" t="inlineStr">
        <is>
          <t>DALARNAS LÄN</t>
        </is>
      </c>
      <c r="E3590" t="inlineStr">
        <is>
          <t>GAGNEF</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37293-2021</t>
        </is>
      </c>
      <c r="B3591" s="1" t="n">
        <v>44397</v>
      </c>
      <c r="C3591" s="1" t="n">
        <v>45210</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37300-2021</t>
        </is>
      </c>
      <c r="B3592" s="1" t="n">
        <v>44397</v>
      </c>
      <c r="C3592" s="1" t="n">
        <v>45210</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37283-2021</t>
        </is>
      </c>
      <c r="B3593" s="1" t="n">
        <v>44397</v>
      </c>
      <c r="C3593" s="1" t="n">
        <v>45210</v>
      </c>
      <c r="D3593" t="inlineStr">
        <is>
          <t>DALARNAS LÄN</t>
        </is>
      </c>
      <c r="E3593" t="inlineStr">
        <is>
          <t>LEKSAND</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37291-2021</t>
        </is>
      </c>
      <c r="B3594" s="1" t="n">
        <v>44397</v>
      </c>
      <c r="C3594" s="1" t="n">
        <v>45210</v>
      </c>
      <c r="D3594" t="inlineStr">
        <is>
          <t>DALARNAS LÄN</t>
        </is>
      </c>
      <c r="E3594" t="inlineStr">
        <is>
          <t>FALUN</t>
        </is>
      </c>
      <c r="G3594" t="n">
        <v>0.2</v>
      </c>
      <c r="H3594" t="n">
        <v>0</v>
      </c>
      <c r="I3594" t="n">
        <v>0</v>
      </c>
      <c r="J3594" t="n">
        <v>0</v>
      </c>
      <c r="K3594" t="n">
        <v>0</v>
      </c>
      <c r="L3594" t="n">
        <v>0</v>
      </c>
      <c r="M3594" t="n">
        <v>0</v>
      </c>
      <c r="N3594" t="n">
        <v>0</v>
      </c>
      <c r="O3594" t="n">
        <v>0</v>
      </c>
      <c r="P3594" t="n">
        <v>0</v>
      </c>
      <c r="Q3594" t="n">
        <v>0</v>
      </c>
      <c r="R3594" s="2" t="inlineStr"/>
    </row>
    <row r="3595" ht="15" customHeight="1">
      <c r="A3595" t="inlineStr">
        <is>
          <t>A 37384-2021</t>
        </is>
      </c>
      <c r="B3595" s="1" t="n">
        <v>44397</v>
      </c>
      <c r="C3595" s="1" t="n">
        <v>45210</v>
      </c>
      <c r="D3595" t="inlineStr">
        <is>
          <t>DALARNAS LÄN</t>
        </is>
      </c>
      <c r="E3595" t="inlineStr">
        <is>
          <t>LUDVIKA</t>
        </is>
      </c>
      <c r="F3595" t="inlineStr">
        <is>
          <t>Kommuner</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37489-2021</t>
        </is>
      </c>
      <c r="B3596" s="1" t="n">
        <v>44398</v>
      </c>
      <c r="C3596" s="1" t="n">
        <v>45210</v>
      </c>
      <c r="D3596" t="inlineStr">
        <is>
          <t>DALARNAS LÄN</t>
        </is>
      </c>
      <c r="E3596" t="inlineStr">
        <is>
          <t>FALUN</t>
        </is>
      </c>
      <c r="G3596" t="n">
        <v>10</v>
      </c>
      <c r="H3596" t="n">
        <v>0</v>
      </c>
      <c r="I3596" t="n">
        <v>0</v>
      </c>
      <c r="J3596" t="n">
        <v>0</v>
      </c>
      <c r="K3596" t="n">
        <v>0</v>
      </c>
      <c r="L3596" t="n">
        <v>0</v>
      </c>
      <c r="M3596" t="n">
        <v>0</v>
      </c>
      <c r="N3596" t="n">
        <v>0</v>
      </c>
      <c r="O3596" t="n">
        <v>0</v>
      </c>
      <c r="P3596" t="n">
        <v>0</v>
      </c>
      <c r="Q3596" t="n">
        <v>0</v>
      </c>
      <c r="R3596" s="2" t="inlineStr"/>
    </row>
    <row r="3597" ht="15" customHeight="1">
      <c r="A3597" t="inlineStr">
        <is>
          <t>A 37535-2021</t>
        </is>
      </c>
      <c r="B3597" s="1" t="n">
        <v>44399</v>
      </c>
      <c r="C3597" s="1" t="n">
        <v>45210</v>
      </c>
      <c r="D3597" t="inlineStr">
        <is>
          <t>DALARNAS LÄN</t>
        </is>
      </c>
      <c r="E3597" t="inlineStr">
        <is>
          <t>BORLÄNGE</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37560-2021</t>
        </is>
      </c>
      <c r="B3598" s="1" t="n">
        <v>44399</v>
      </c>
      <c r="C3598" s="1" t="n">
        <v>45210</v>
      </c>
      <c r="D3598" t="inlineStr">
        <is>
          <t>DALARNAS LÄN</t>
        </is>
      </c>
      <c r="E3598" t="inlineStr">
        <is>
          <t>RÄTTVIK</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37490-2021</t>
        </is>
      </c>
      <c r="B3599" s="1" t="n">
        <v>44399</v>
      </c>
      <c r="C3599" s="1" t="n">
        <v>45210</v>
      </c>
      <c r="D3599" t="inlineStr">
        <is>
          <t>DALARNAS LÄN</t>
        </is>
      </c>
      <c r="E3599" t="inlineStr">
        <is>
          <t>ÄLVDALEN</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37531-2021</t>
        </is>
      </c>
      <c r="B3600" s="1" t="n">
        <v>44399</v>
      </c>
      <c r="C3600" s="1" t="n">
        <v>45210</v>
      </c>
      <c r="D3600" t="inlineStr">
        <is>
          <t>DALARNAS LÄN</t>
        </is>
      </c>
      <c r="E3600" t="inlineStr">
        <is>
          <t>LEKSAND</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37534-2021</t>
        </is>
      </c>
      <c r="B3601" s="1" t="n">
        <v>44399</v>
      </c>
      <c r="C3601" s="1" t="n">
        <v>45210</v>
      </c>
      <c r="D3601" t="inlineStr">
        <is>
          <t>DALARNAS LÄN</t>
        </is>
      </c>
      <c r="E3601" t="inlineStr">
        <is>
          <t>BORLÄNGE</t>
        </is>
      </c>
      <c r="F3601" t="inlineStr">
        <is>
          <t>Bergvik skog väst AB</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37851-2021</t>
        </is>
      </c>
      <c r="B3602" s="1" t="n">
        <v>44403</v>
      </c>
      <c r="C3602" s="1" t="n">
        <v>45210</v>
      </c>
      <c r="D3602" t="inlineStr">
        <is>
          <t>DALARNAS LÄN</t>
        </is>
      </c>
      <c r="E3602" t="inlineStr">
        <is>
          <t>SMEDJEBACKEN</t>
        </is>
      </c>
      <c r="G3602" t="n">
        <v>2.9</v>
      </c>
      <c r="H3602" t="n">
        <v>0</v>
      </c>
      <c r="I3602" t="n">
        <v>0</v>
      </c>
      <c r="J3602" t="n">
        <v>0</v>
      </c>
      <c r="K3602" t="n">
        <v>0</v>
      </c>
      <c r="L3602" t="n">
        <v>0</v>
      </c>
      <c r="M3602" t="n">
        <v>0</v>
      </c>
      <c r="N3602" t="n">
        <v>0</v>
      </c>
      <c r="O3602" t="n">
        <v>0</v>
      </c>
      <c r="P3602" t="n">
        <v>0</v>
      </c>
      <c r="Q3602" t="n">
        <v>0</v>
      </c>
      <c r="R3602" s="2" t="inlineStr"/>
    </row>
    <row r="3603" ht="15" customHeight="1">
      <c r="A3603" t="inlineStr">
        <is>
          <t>A 38193-2021</t>
        </is>
      </c>
      <c r="B3603" s="1" t="n">
        <v>44405</v>
      </c>
      <c r="C3603" s="1" t="n">
        <v>45210</v>
      </c>
      <c r="D3603" t="inlineStr">
        <is>
          <t>DALARNAS LÄN</t>
        </is>
      </c>
      <c r="E3603" t="inlineStr">
        <is>
          <t>MALUNG-SÄLEN</t>
        </is>
      </c>
      <c r="F3603" t="inlineStr">
        <is>
          <t>Naturvårdsverket</t>
        </is>
      </c>
      <c r="G3603" t="n">
        <v>7.1</v>
      </c>
      <c r="H3603" t="n">
        <v>0</v>
      </c>
      <c r="I3603" t="n">
        <v>0</v>
      </c>
      <c r="J3603" t="n">
        <v>0</v>
      </c>
      <c r="K3603" t="n">
        <v>0</v>
      </c>
      <c r="L3603" t="n">
        <v>0</v>
      </c>
      <c r="M3603" t="n">
        <v>0</v>
      </c>
      <c r="N3603" t="n">
        <v>0</v>
      </c>
      <c r="O3603" t="n">
        <v>0</v>
      </c>
      <c r="P3603" t="n">
        <v>0</v>
      </c>
      <c r="Q3603" t="n">
        <v>0</v>
      </c>
      <c r="R3603" s="2" t="inlineStr"/>
    </row>
    <row r="3604" ht="15" customHeight="1">
      <c r="A3604" t="inlineStr">
        <is>
          <t>A 38204-2021</t>
        </is>
      </c>
      <c r="B3604" s="1" t="n">
        <v>44405</v>
      </c>
      <c r="C3604" s="1" t="n">
        <v>45210</v>
      </c>
      <c r="D3604" t="inlineStr">
        <is>
          <t>DALARNAS LÄN</t>
        </is>
      </c>
      <c r="E3604" t="inlineStr">
        <is>
          <t>MALUNG-SÄLEN</t>
        </is>
      </c>
      <c r="F3604" t="inlineStr">
        <is>
          <t>Naturvårdsverket</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38492-2021</t>
        </is>
      </c>
      <c r="B3605" s="1" t="n">
        <v>44405</v>
      </c>
      <c r="C3605" s="1" t="n">
        <v>45210</v>
      </c>
      <c r="D3605" t="inlineStr">
        <is>
          <t>DALARNAS LÄN</t>
        </is>
      </c>
      <c r="E3605" t="inlineStr">
        <is>
          <t>MALUNG-SÄLEN</t>
        </is>
      </c>
      <c r="F3605" t="inlineStr">
        <is>
          <t>Naturvårdsverket</t>
        </is>
      </c>
      <c r="G3605" t="n">
        <v>5.2</v>
      </c>
      <c r="H3605" t="n">
        <v>0</v>
      </c>
      <c r="I3605" t="n">
        <v>0</v>
      </c>
      <c r="J3605" t="n">
        <v>0</v>
      </c>
      <c r="K3605" t="n">
        <v>0</v>
      </c>
      <c r="L3605" t="n">
        <v>0</v>
      </c>
      <c r="M3605" t="n">
        <v>0</v>
      </c>
      <c r="N3605" t="n">
        <v>0</v>
      </c>
      <c r="O3605" t="n">
        <v>0</v>
      </c>
      <c r="P3605" t="n">
        <v>0</v>
      </c>
      <c r="Q3605" t="n">
        <v>0</v>
      </c>
      <c r="R3605" s="2" t="inlineStr"/>
    </row>
    <row r="3606" ht="15" customHeight="1">
      <c r="A3606" t="inlineStr">
        <is>
          <t>A 38192-2021</t>
        </is>
      </c>
      <c r="B3606" s="1" t="n">
        <v>44405</v>
      </c>
      <c r="C3606" s="1" t="n">
        <v>45210</v>
      </c>
      <c r="D3606" t="inlineStr">
        <is>
          <t>DALARNAS LÄN</t>
        </is>
      </c>
      <c r="E3606" t="inlineStr">
        <is>
          <t>LEKSAND</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38371-2021</t>
        </is>
      </c>
      <c r="B3607" s="1" t="n">
        <v>44406</v>
      </c>
      <c r="C3607" s="1" t="n">
        <v>45210</v>
      </c>
      <c r="D3607" t="inlineStr">
        <is>
          <t>DALARNAS LÄN</t>
        </is>
      </c>
      <c r="E3607" t="inlineStr">
        <is>
          <t>LUDVIKA</t>
        </is>
      </c>
      <c r="F3607" t="inlineStr">
        <is>
          <t>Bergvik skog väst AB</t>
        </is>
      </c>
      <c r="G3607" t="n">
        <v>16</v>
      </c>
      <c r="H3607" t="n">
        <v>0</v>
      </c>
      <c r="I3607" t="n">
        <v>0</v>
      </c>
      <c r="J3607" t="n">
        <v>0</v>
      </c>
      <c r="K3607" t="n">
        <v>0</v>
      </c>
      <c r="L3607" t="n">
        <v>0</v>
      </c>
      <c r="M3607" t="n">
        <v>0</v>
      </c>
      <c r="N3607" t="n">
        <v>0</v>
      </c>
      <c r="O3607" t="n">
        <v>0</v>
      </c>
      <c r="P3607" t="n">
        <v>0</v>
      </c>
      <c r="Q3607" t="n">
        <v>0</v>
      </c>
      <c r="R3607" s="2" t="inlineStr"/>
    </row>
    <row r="3608" ht="15" customHeight="1">
      <c r="A3608" t="inlineStr">
        <is>
          <t>A 38454-2021</t>
        </is>
      </c>
      <c r="B3608" s="1" t="n">
        <v>44407</v>
      </c>
      <c r="C3608" s="1" t="n">
        <v>45210</v>
      </c>
      <c r="D3608" t="inlineStr">
        <is>
          <t>DALARNAS LÄN</t>
        </is>
      </c>
      <c r="E3608" t="inlineStr">
        <is>
          <t>FALUN</t>
        </is>
      </c>
      <c r="G3608" t="n">
        <v>3.7</v>
      </c>
      <c r="H3608" t="n">
        <v>0</v>
      </c>
      <c r="I3608" t="n">
        <v>0</v>
      </c>
      <c r="J3608" t="n">
        <v>0</v>
      </c>
      <c r="K3608" t="n">
        <v>0</v>
      </c>
      <c r="L3608" t="n">
        <v>0</v>
      </c>
      <c r="M3608" t="n">
        <v>0</v>
      </c>
      <c r="N3608" t="n">
        <v>0</v>
      </c>
      <c r="O3608" t="n">
        <v>0</v>
      </c>
      <c r="P3608" t="n">
        <v>0</v>
      </c>
      <c r="Q3608" t="n">
        <v>0</v>
      </c>
      <c r="R3608" s="2" t="inlineStr"/>
    </row>
    <row r="3609" ht="15" customHeight="1">
      <c r="A3609" t="inlineStr">
        <is>
          <t>A 38512-2021</t>
        </is>
      </c>
      <c r="B3609" s="1" t="n">
        <v>44407</v>
      </c>
      <c r="C3609" s="1" t="n">
        <v>45210</v>
      </c>
      <c r="D3609" t="inlineStr">
        <is>
          <t>DALARNAS LÄN</t>
        </is>
      </c>
      <c r="E3609" t="inlineStr">
        <is>
          <t>FALUN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38561-2021</t>
        </is>
      </c>
      <c r="B3610" s="1" t="n">
        <v>44407</v>
      </c>
      <c r="C3610" s="1" t="n">
        <v>45210</v>
      </c>
      <c r="D3610" t="inlineStr">
        <is>
          <t>DALARNAS LÄN</t>
        </is>
      </c>
      <c r="E3610" t="inlineStr">
        <is>
          <t>FALUN</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38602-2021</t>
        </is>
      </c>
      <c r="B3611" s="1" t="n">
        <v>44408</v>
      </c>
      <c r="C3611" s="1" t="n">
        <v>45210</v>
      </c>
      <c r="D3611" t="inlineStr">
        <is>
          <t>DALARNAS LÄN</t>
        </is>
      </c>
      <c r="E3611" t="inlineStr">
        <is>
          <t>RÄTTVIK</t>
        </is>
      </c>
      <c r="F3611" t="inlineStr">
        <is>
          <t>Bergvik skog väst AB</t>
        </is>
      </c>
      <c r="G3611" t="n">
        <v>6.1</v>
      </c>
      <c r="H3611" t="n">
        <v>0</v>
      </c>
      <c r="I3611" t="n">
        <v>0</v>
      </c>
      <c r="J3611" t="n">
        <v>0</v>
      </c>
      <c r="K3611" t="n">
        <v>0</v>
      </c>
      <c r="L3611" t="n">
        <v>0</v>
      </c>
      <c r="M3611" t="n">
        <v>0</v>
      </c>
      <c r="N3611" t="n">
        <v>0</v>
      </c>
      <c r="O3611" t="n">
        <v>0</v>
      </c>
      <c r="P3611" t="n">
        <v>0</v>
      </c>
      <c r="Q3611" t="n">
        <v>0</v>
      </c>
      <c r="R3611" s="2" t="inlineStr"/>
    </row>
    <row r="3612" ht="15" customHeight="1">
      <c r="A3612" t="inlineStr">
        <is>
          <t>A 38619-2021</t>
        </is>
      </c>
      <c r="B3612" s="1" t="n">
        <v>44409</v>
      </c>
      <c r="C3612" s="1" t="n">
        <v>45210</v>
      </c>
      <c r="D3612" t="inlineStr">
        <is>
          <t>DALARNAS LÄN</t>
        </is>
      </c>
      <c r="E3612" t="inlineStr">
        <is>
          <t>LEKSAND</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38620-2021</t>
        </is>
      </c>
      <c r="B3613" s="1" t="n">
        <v>44409</v>
      </c>
      <c r="C3613" s="1" t="n">
        <v>45210</v>
      </c>
      <c r="D3613" t="inlineStr">
        <is>
          <t>DALARNAS LÄN</t>
        </is>
      </c>
      <c r="E3613" t="inlineStr">
        <is>
          <t>FALUN</t>
        </is>
      </c>
      <c r="G3613" t="n">
        <v>4.4</v>
      </c>
      <c r="H3613" t="n">
        <v>0</v>
      </c>
      <c r="I3613" t="n">
        <v>0</v>
      </c>
      <c r="J3613" t="n">
        <v>0</v>
      </c>
      <c r="K3613" t="n">
        <v>0</v>
      </c>
      <c r="L3613" t="n">
        <v>0</v>
      </c>
      <c r="M3613" t="n">
        <v>0</v>
      </c>
      <c r="N3613" t="n">
        <v>0</v>
      </c>
      <c r="O3613" t="n">
        <v>0</v>
      </c>
      <c r="P3613" t="n">
        <v>0</v>
      </c>
      <c r="Q3613" t="n">
        <v>0</v>
      </c>
      <c r="R3613" s="2" t="inlineStr"/>
    </row>
    <row r="3614" ht="15" customHeight="1">
      <c r="A3614" t="inlineStr">
        <is>
          <t>A 38797-2021</t>
        </is>
      </c>
      <c r="B3614" s="1" t="n">
        <v>44410</v>
      </c>
      <c r="C3614" s="1" t="n">
        <v>45210</v>
      </c>
      <c r="D3614" t="inlineStr">
        <is>
          <t>DALARNAS LÄN</t>
        </is>
      </c>
      <c r="E3614" t="inlineStr">
        <is>
          <t>SMEDJEBACKEN</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38769-2021</t>
        </is>
      </c>
      <c r="B3615" s="1" t="n">
        <v>44410</v>
      </c>
      <c r="C3615" s="1" t="n">
        <v>45210</v>
      </c>
      <c r="D3615" t="inlineStr">
        <is>
          <t>DALARNAS LÄN</t>
        </is>
      </c>
      <c r="E3615" t="inlineStr">
        <is>
          <t>MORA</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38800-2021</t>
        </is>
      </c>
      <c r="B3616" s="1" t="n">
        <v>44410</v>
      </c>
      <c r="C3616" s="1" t="n">
        <v>45210</v>
      </c>
      <c r="D3616" t="inlineStr">
        <is>
          <t>DALARNAS LÄN</t>
        </is>
      </c>
      <c r="E3616" t="inlineStr">
        <is>
          <t>SMEDJEBACKEN</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38680-2021</t>
        </is>
      </c>
      <c r="B3617" s="1" t="n">
        <v>44410</v>
      </c>
      <c r="C3617" s="1" t="n">
        <v>45210</v>
      </c>
      <c r="D3617" t="inlineStr">
        <is>
          <t>DALARNAS LÄN</t>
        </is>
      </c>
      <c r="E3617" t="inlineStr">
        <is>
          <t>SMEDJEBACKEN</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38803-2021</t>
        </is>
      </c>
      <c r="B3618" s="1" t="n">
        <v>44410</v>
      </c>
      <c r="C3618" s="1" t="n">
        <v>45210</v>
      </c>
      <c r="D3618" t="inlineStr">
        <is>
          <t>DALARNAS LÄN</t>
        </is>
      </c>
      <c r="E3618" t="inlineStr">
        <is>
          <t>SMEDJEBACKEN</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39064-2021</t>
        </is>
      </c>
      <c r="B3619" s="1" t="n">
        <v>44411</v>
      </c>
      <c r="C3619" s="1" t="n">
        <v>45210</v>
      </c>
      <c r="D3619" t="inlineStr">
        <is>
          <t>DALARNAS LÄN</t>
        </is>
      </c>
      <c r="E3619" t="inlineStr">
        <is>
          <t>ÄLVDALEN</t>
        </is>
      </c>
      <c r="F3619" t="inlineStr">
        <is>
          <t>Övriga statliga verk och myndigheter</t>
        </is>
      </c>
      <c r="G3619" t="n">
        <v>4.5</v>
      </c>
      <c r="H3619" t="n">
        <v>0</v>
      </c>
      <c r="I3619" t="n">
        <v>0</v>
      </c>
      <c r="J3619" t="n">
        <v>0</v>
      </c>
      <c r="K3619" t="n">
        <v>0</v>
      </c>
      <c r="L3619" t="n">
        <v>0</v>
      </c>
      <c r="M3619" t="n">
        <v>0</v>
      </c>
      <c r="N3619" t="n">
        <v>0</v>
      </c>
      <c r="O3619" t="n">
        <v>0</v>
      </c>
      <c r="P3619" t="n">
        <v>0</v>
      </c>
      <c r="Q3619" t="n">
        <v>0</v>
      </c>
      <c r="R3619" s="2" t="inlineStr"/>
    </row>
    <row r="3620" ht="15" customHeight="1">
      <c r="A3620" t="inlineStr">
        <is>
          <t>A 38957-2021</t>
        </is>
      </c>
      <c r="B3620" s="1" t="n">
        <v>44411</v>
      </c>
      <c r="C3620" s="1" t="n">
        <v>45210</v>
      </c>
      <c r="D3620" t="inlineStr">
        <is>
          <t>DALARNAS LÄN</t>
        </is>
      </c>
      <c r="E3620" t="inlineStr">
        <is>
          <t>ÄLVDALEN</t>
        </is>
      </c>
      <c r="G3620" t="n">
        <v>4.6</v>
      </c>
      <c r="H3620" t="n">
        <v>0</v>
      </c>
      <c r="I3620" t="n">
        <v>0</v>
      </c>
      <c r="J3620" t="n">
        <v>0</v>
      </c>
      <c r="K3620" t="n">
        <v>0</v>
      </c>
      <c r="L3620" t="n">
        <v>0</v>
      </c>
      <c r="M3620" t="n">
        <v>0</v>
      </c>
      <c r="N3620" t="n">
        <v>0</v>
      </c>
      <c r="O3620" t="n">
        <v>0</v>
      </c>
      <c r="P3620" t="n">
        <v>0</v>
      </c>
      <c r="Q3620" t="n">
        <v>0</v>
      </c>
      <c r="R3620" s="2" t="inlineStr"/>
    </row>
    <row r="3621" ht="15" customHeight="1">
      <c r="A3621" t="inlineStr">
        <is>
          <t>A 39164-2021</t>
        </is>
      </c>
      <c r="B3621" s="1" t="n">
        <v>44412</v>
      </c>
      <c r="C3621" s="1" t="n">
        <v>45210</v>
      </c>
      <c r="D3621" t="inlineStr">
        <is>
          <t>DALARNAS LÄN</t>
        </is>
      </c>
      <c r="E3621" t="inlineStr">
        <is>
          <t>AVESTA</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39199-2021</t>
        </is>
      </c>
      <c r="B3622" s="1" t="n">
        <v>44412</v>
      </c>
      <c r="C3622" s="1" t="n">
        <v>45210</v>
      </c>
      <c r="D3622" t="inlineStr">
        <is>
          <t>DALARNAS LÄN</t>
        </is>
      </c>
      <c r="E3622" t="inlineStr">
        <is>
          <t>ÄLVDALEN</t>
        </is>
      </c>
      <c r="F3622" t="inlineStr">
        <is>
          <t>Övriga statliga verk och myndigheter</t>
        </is>
      </c>
      <c r="G3622" t="n">
        <v>5.2</v>
      </c>
      <c r="H3622" t="n">
        <v>0</v>
      </c>
      <c r="I3622" t="n">
        <v>0</v>
      </c>
      <c r="J3622" t="n">
        <v>0</v>
      </c>
      <c r="K3622" t="n">
        <v>0</v>
      </c>
      <c r="L3622" t="n">
        <v>0</v>
      </c>
      <c r="M3622" t="n">
        <v>0</v>
      </c>
      <c r="N3622" t="n">
        <v>0</v>
      </c>
      <c r="O3622" t="n">
        <v>0</v>
      </c>
      <c r="P3622" t="n">
        <v>0</v>
      </c>
      <c r="Q3622" t="n">
        <v>0</v>
      </c>
      <c r="R3622" s="2" t="inlineStr"/>
    </row>
    <row r="3623" ht="15" customHeight="1">
      <c r="A3623" t="inlineStr">
        <is>
          <t>A 39096-2021</t>
        </is>
      </c>
      <c r="B3623" s="1" t="n">
        <v>44412</v>
      </c>
      <c r="C3623" s="1" t="n">
        <v>45210</v>
      </c>
      <c r="D3623" t="inlineStr">
        <is>
          <t>DALARNAS LÄN</t>
        </is>
      </c>
      <c r="E3623" t="inlineStr">
        <is>
          <t>FALUN</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39128-2021</t>
        </is>
      </c>
      <c r="B3624" s="1" t="n">
        <v>44412</v>
      </c>
      <c r="C3624" s="1" t="n">
        <v>45210</v>
      </c>
      <c r="D3624" t="inlineStr">
        <is>
          <t>DALARNAS LÄN</t>
        </is>
      </c>
      <c r="E3624" t="inlineStr">
        <is>
          <t>VANSBRO</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39267-2021</t>
        </is>
      </c>
      <c r="B3625" s="1" t="n">
        <v>44413</v>
      </c>
      <c r="C3625" s="1" t="n">
        <v>45210</v>
      </c>
      <c r="D3625" t="inlineStr">
        <is>
          <t>DALARNAS LÄN</t>
        </is>
      </c>
      <c r="E3625" t="inlineStr">
        <is>
          <t>ÄLVDALEN</t>
        </is>
      </c>
      <c r="G3625" t="n">
        <v>2.4</v>
      </c>
      <c r="H3625" t="n">
        <v>0</v>
      </c>
      <c r="I3625" t="n">
        <v>0</v>
      </c>
      <c r="J3625" t="n">
        <v>0</v>
      </c>
      <c r="K3625" t="n">
        <v>0</v>
      </c>
      <c r="L3625" t="n">
        <v>0</v>
      </c>
      <c r="M3625" t="n">
        <v>0</v>
      </c>
      <c r="N3625" t="n">
        <v>0</v>
      </c>
      <c r="O3625" t="n">
        <v>0</v>
      </c>
      <c r="P3625" t="n">
        <v>0</v>
      </c>
      <c r="Q3625" t="n">
        <v>0</v>
      </c>
      <c r="R3625" s="2" t="inlineStr"/>
    </row>
    <row r="3626" ht="15" customHeight="1">
      <c r="A3626" t="inlineStr">
        <is>
          <t>A 39299-2021</t>
        </is>
      </c>
      <c r="B3626" s="1" t="n">
        <v>44413</v>
      </c>
      <c r="C3626" s="1" t="n">
        <v>45210</v>
      </c>
      <c r="D3626" t="inlineStr">
        <is>
          <t>DALARNAS LÄN</t>
        </is>
      </c>
      <c r="E3626" t="inlineStr">
        <is>
          <t>ÄLVDALEN</t>
        </is>
      </c>
      <c r="F3626" t="inlineStr">
        <is>
          <t>Övriga statliga verk och myndigheter</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39247-2021</t>
        </is>
      </c>
      <c r="B3627" s="1" t="n">
        <v>44413</v>
      </c>
      <c r="C3627" s="1" t="n">
        <v>45210</v>
      </c>
      <c r="D3627" t="inlineStr">
        <is>
          <t>DALARNAS LÄN</t>
        </is>
      </c>
      <c r="E3627" t="inlineStr">
        <is>
          <t>LUDVIKA</t>
        </is>
      </c>
      <c r="G3627" t="n">
        <v>6</v>
      </c>
      <c r="H3627" t="n">
        <v>0</v>
      </c>
      <c r="I3627" t="n">
        <v>0</v>
      </c>
      <c r="J3627" t="n">
        <v>0</v>
      </c>
      <c r="K3627" t="n">
        <v>0</v>
      </c>
      <c r="L3627" t="n">
        <v>0</v>
      </c>
      <c r="M3627" t="n">
        <v>0</v>
      </c>
      <c r="N3627" t="n">
        <v>0</v>
      </c>
      <c r="O3627" t="n">
        <v>0</v>
      </c>
      <c r="P3627" t="n">
        <v>0</v>
      </c>
      <c r="Q3627" t="n">
        <v>0</v>
      </c>
      <c r="R3627" s="2" t="inlineStr"/>
    </row>
    <row r="3628" ht="15" customHeight="1">
      <c r="A3628" t="inlineStr">
        <is>
          <t>A 39227-2021</t>
        </is>
      </c>
      <c r="B3628" s="1" t="n">
        <v>44413</v>
      </c>
      <c r="C3628" s="1" t="n">
        <v>45210</v>
      </c>
      <c r="D3628" t="inlineStr">
        <is>
          <t>DALARNAS LÄN</t>
        </is>
      </c>
      <c r="E3628" t="inlineStr">
        <is>
          <t>MORA</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39301-2021</t>
        </is>
      </c>
      <c r="B3629" s="1" t="n">
        <v>44413</v>
      </c>
      <c r="C3629" s="1" t="n">
        <v>45210</v>
      </c>
      <c r="D3629" t="inlineStr">
        <is>
          <t>DALARNAS LÄN</t>
        </is>
      </c>
      <c r="E3629" t="inlineStr">
        <is>
          <t>ÄLVDALEN</t>
        </is>
      </c>
      <c r="F3629" t="inlineStr">
        <is>
          <t>Övriga statliga verk och myndigheter</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39198-2021</t>
        </is>
      </c>
      <c r="B3630" s="1" t="n">
        <v>44413</v>
      </c>
      <c r="C3630" s="1" t="n">
        <v>45210</v>
      </c>
      <c r="D3630" t="inlineStr">
        <is>
          <t>DALARNAS LÄN</t>
        </is>
      </c>
      <c r="E3630" t="inlineStr">
        <is>
          <t>MORA</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39262-2021</t>
        </is>
      </c>
      <c r="B3631" s="1" t="n">
        <v>44413</v>
      </c>
      <c r="C3631" s="1" t="n">
        <v>45210</v>
      </c>
      <c r="D3631" t="inlineStr">
        <is>
          <t>DALARNAS LÄN</t>
        </is>
      </c>
      <c r="E3631" t="inlineStr">
        <is>
          <t>SÄTER</t>
        </is>
      </c>
      <c r="G3631" t="n">
        <v>3.5</v>
      </c>
      <c r="H3631" t="n">
        <v>0</v>
      </c>
      <c r="I3631" t="n">
        <v>0</v>
      </c>
      <c r="J3631" t="n">
        <v>0</v>
      </c>
      <c r="K3631" t="n">
        <v>0</v>
      </c>
      <c r="L3631" t="n">
        <v>0</v>
      </c>
      <c r="M3631" t="n">
        <v>0</v>
      </c>
      <c r="N3631" t="n">
        <v>0</v>
      </c>
      <c r="O3631" t="n">
        <v>0</v>
      </c>
      <c r="P3631" t="n">
        <v>0</v>
      </c>
      <c r="Q3631" t="n">
        <v>0</v>
      </c>
      <c r="R3631" s="2" t="inlineStr"/>
    </row>
    <row r="3632" ht="15" customHeight="1">
      <c r="A3632" t="inlineStr">
        <is>
          <t>A 39304-2021</t>
        </is>
      </c>
      <c r="B3632" s="1" t="n">
        <v>44413</v>
      </c>
      <c r="C3632" s="1" t="n">
        <v>45210</v>
      </c>
      <c r="D3632" t="inlineStr">
        <is>
          <t>DALARNAS LÄN</t>
        </is>
      </c>
      <c r="E3632" t="inlineStr">
        <is>
          <t>ÄLVDALEN</t>
        </is>
      </c>
      <c r="F3632" t="inlineStr">
        <is>
          <t>Övriga statliga verk och myndigheter</t>
        </is>
      </c>
      <c r="G3632" t="n">
        <v>7.6</v>
      </c>
      <c r="H3632" t="n">
        <v>0</v>
      </c>
      <c r="I3632" t="n">
        <v>0</v>
      </c>
      <c r="J3632" t="n">
        <v>0</v>
      </c>
      <c r="K3632" t="n">
        <v>0</v>
      </c>
      <c r="L3632" t="n">
        <v>0</v>
      </c>
      <c r="M3632" t="n">
        <v>0</v>
      </c>
      <c r="N3632" t="n">
        <v>0</v>
      </c>
      <c r="O3632" t="n">
        <v>0</v>
      </c>
      <c r="P3632" t="n">
        <v>0</v>
      </c>
      <c r="Q3632" t="n">
        <v>0</v>
      </c>
      <c r="R3632" s="2" t="inlineStr"/>
    </row>
    <row r="3633" ht="15" customHeight="1">
      <c r="A3633" t="inlineStr">
        <is>
          <t>A 39433-2021</t>
        </is>
      </c>
      <c r="B3633" s="1" t="n">
        <v>44414</v>
      </c>
      <c r="C3633" s="1" t="n">
        <v>45210</v>
      </c>
      <c r="D3633" t="inlineStr">
        <is>
          <t>DALARNAS LÄN</t>
        </is>
      </c>
      <c r="E3633" t="inlineStr">
        <is>
          <t>RÄTTVIK</t>
        </is>
      </c>
      <c r="F3633" t="inlineStr">
        <is>
          <t>Kyrkan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39486-2021</t>
        </is>
      </c>
      <c r="B3634" s="1" t="n">
        <v>44414</v>
      </c>
      <c r="C3634" s="1" t="n">
        <v>45210</v>
      </c>
      <c r="D3634" t="inlineStr">
        <is>
          <t>DALARNAS LÄN</t>
        </is>
      </c>
      <c r="E3634" t="inlineStr">
        <is>
          <t>RÄTTVIK</t>
        </is>
      </c>
      <c r="F3634" t="inlineStr">
        <is>
          <t>Sveaskog</t>
        </is>
      </c>
      <c r="G3634" t="n">
        <v>4.3</v>
      </c>
      <c r="H3634" t="n">
        <v>0</v>
      </c>
      <c r="I3634" t="n">
        <v>0</v>
      </c>
      <c r="J3634" t="n">
        <v>0</v>
      </c>
      <c r="K3634" t="n">
        <v>0</v>
      </c>
      <c r="L3634" t="n">
        <v>0</v>
      </c>
      <c r="M3634" t="n">
        <v>0</v>
      </c>
      <c r="N3634" t="n">
        <v>0</v>
      </c>
      <c r="O3634" t="n">
        <v>0</v>
      </c>
      <c r="P3634" t="n">
        <v>0</v>
      </c>
      <c r="Q3634" t="n">
        <v>0</v>
      </c>
      <c r="R3634" s="2" t="inlineStr"/>
    </row>
    <row r="3635" ht="15" customHeight="1">
      <c r="A3635" t="inlineStr">
        <is>
          <t>A 39731-2021</t>
        </is>
      </c>
      <c r="B3635" s="1" t="n">
        <v>44414</v>
      </c>
      <c r="C3635" s="1" t="n">
        <v>45210</v>
      </c>
      <c r="D3635" t="inlineStr">
        <is>
          <t>DALARNAS LÄN</t>
        </is>
      </c>
      <c r="E3635" t="inlineStr">
        <is>
          <t>SMEDJEBACKEN</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39719-2021</t>
        </is>
      </c>
      <c r="B3636" s="1" t="n">
        <v>44414</v>
      </c>
      <c r="C3636" s="1" t="n">
        <v>45210</v>
      </c>
      <c r="D3636" t="inlineStr">
        <is>
          <t>DALARNAS LÄN</t>
        </is>
      </c>
      <c r="E3636" t="inlineStr">
        <is>
          <t>SMEDJEBACKEN</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39734-2021</t>
        </is>
      </c>
      <c r="B3637" s="1" t="n">
        <v>44414</v>
      </c>
      <c r="C3637" s="1" t="n">
        <v>45210</v>
      </c>
      <c r="D3637" t="inlineStr">
        <is>
          <t>DALARNAS LÄN</t>
        </is>
      </c>
      <c r="E3637" t="inlineStr">
        <is>
          <t>SMEDJEBACKEN</t>
        </is>
      </c>
      <c r="G3637" t="n">
        <v>4.4</v>
      </c>
      <c r="H3637" t="n">
        <v>0</v>
      </c>
      <c r="I3637" t="n">
        <v>0</v>
      </c>
      <c r="J3637" t="n">
        <v>0</v>
      </c>
      <c r="K3637" t="n">
        <v>0</v>
      </c>
      <c r="L3637" t="n">
        <v>0</v>
      </c>
      <c r="M3637" t="n">
        <v>0</v>
      </c>
      <c r="N3637" t="n">
        <v>0</v>
      </c>
      <c r="O3637" t="n">
        <v>0</v>
      </c>
      <c r="P3637" t="n">
        <v>0</v>
      </c>
      <c r="Q3637" t="n">
        <v>0</v>
      </c>
      <c r="R3637" s="2" t="inlineStr"/>
    </row>
    <row r="3638" ht="15" customHeight="1">
      <c r="A3638" t="inlineStr">
        <is>
          <t>A 39726-2021</t>
        </is>
      </c>
      <c r="B3638" s="1" t="n">
        <v>44414</v>
      </c>
      <c r="C3638" s="1" t="n">
        <v>45210</v>
      </c>
      <c r="D3638" t="inlineStr">
        <is>
          <t>DALARNAS LÄN</t>
        </is>
      </c>
      <c r="E3638" t="inlineStr">
        <is>
          <t>SMEDJEBACKEN</t>
        </is>
      </c>
      <c r="G3638" t="n">
        <v>10.6</v>
      </c>
      <c r="H3638" t="n">
        <v>0</v>
      </c>
      <c r="I3638" t="n">
        <v>0</v>
      </c>
      <c r="J3638" t="n">
        <v>0</v>
      </c>
      <c r="K3638" t="n">
        <v>0</v>
      </c>
      <c r="L3638" t="n">
        <v>0</v>
      </c>
      <c r="M3638" t="n">
        <v>0</v>
      </c>
      <c r="N3638" t="n">
        <v>0</v>
      </c>
      <c r="O3638" t="n">
        <v>0</v>
      </c>
      <c r="P3638" t="n">
        <v>0</v>
      </c>
      <c r="Q3638" t="n">
        <v>0</v>
      </c>
      <c r="R3638" s="2" t="inlineStr"/>
    </row>
    <row r="3639" ht="15" customHeight="1">
      <c r="A3639" t="inlineStr">
        <is>
          <t>A 39438-2021</t>
        </is>
      </c>
      <c r="B3639" s="1" t="n">
        <v>44414</v>
      </c>
      <c r="C3639" s="1" t="n">
        <v>45210</v>
      </c>
      <c r="D3639" t="inlineStr">
        <is>
          <t>DALARNAS LÄN</t>
        </is>
      </c>
      <c r="E3639" t="inlineStr">
        <is>
          <t>VANSBRO</t>
        </is>
      </c>
      <c r="F3639" t="inlineStr">
        <is>
          <t>Kyrkan</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39713-2021</t>
        </is>
      </c>
      <c r="B3640" s="1" t="n">
        <v>44414</v>
      </c>
      <c r="C3640" s="1" t="n">
        <v>45210</v>
      </c>
      <c r="D3640" t="inlineStr">
        <is>
          <t>DALARNAS LÄN</t>
        </is>
      </c>
      <c r="E3640" t="inlineStr">
        <is>
          <t>SMEDJEBACKEN</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39599-2021</t>
        </is>
      </c>
      <c r="B3641" s="1" t="n">
        <v>44417</v>
      </c>
      <c r="C3641" s="1" t="n">
        <v>45210</v>
      </c>
      <c r="D3641" t="inlineStr">
        <is>
          <t>DALARNAS LÄN</t>
        </is>
      </c>
      <c r="E3641" t="inlineStr">
        <is>
          <t>SMEDJEBACKEN</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39710-2021</t>
        </is>
      </c>
      <c r="B3642" s="1" t="n">
        <v>44417</v>
      </c>
      <c r="C3642" s="1" t="n">
        <v>45210</v>
      </c>
      <c r="D3642" t="inlineStr">
        <is>
          <t>DALARNAS LÄN</t>
        </is>
      </c>
      <c r="E3642" t="inlineStr">
        <is>
          <t>FALUN</t>
        </is>
      </c>
      <c r="G3642" t="n">
        <v>0.1</v>
      </c>
      <c r="H3642" t="n">
        <v>0</v>
      </c>
      <c r="I3642" t="n">
        <v>0</v>
      </c>
      <c r="J3642" t="n">
        <v>0</v>
      </c>
      <c r="K3642" t="n">
        <v>0</v>
      </c>
      <c r="L3642" t="n">
        <v>0</v>
      </c>
      <c r="M3642" t="n">
        <v>0</v>
      </c>
      <c r="N3642" t="n">
        <v>0</v>
      </c>
      <c r="O3642" t="n">
        <v>0</v>
      </c>
      <c r="P3642" t="n">
        <v>0</v>
      </c>
      <c r="Q3642" t="n">
        <v>0</v>
      </c>
      <c r="R3642" s="2" t="inlineStr"/>
    </row>
    <row r="3643" ht="15" customHeight="1">
      <c r="A3643" t="inlineStr">
        <is>
          <t>A 39604-2021</t>
        </is>
      </c>
      <c r="B3643" s="1" t="n">
        <v>44417</v>
      </c>
      <c r="C3643" s="1" t="n">
        <v>45210</v>
      </c>
      <c r="D3643" t="inlineStr">
        <is>
          <t>DALARNAS LÄN</t>
        </is>
      </c>
      <c r="E3643" t="inlineStr">
        <is>
          <t>SMEDJEBACKEN</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39920-2021</t>
        </is>
      </c>
      <c r="B3644" s="1" t="n">
        <v>44417</v>
      </c>
      <c r="C3644" s="1" t="n">
        <v>45210</v>
      </c>
      <c r="D3644" t="inlineStr">
        <is>
          <t>DALARNAS LÄN</t>
        </is>
      </c>
      <c r="E3644" t="inlineStr">
        <is>
          <t>ORSA</t>
        </is>
      </c>
      <c r="F3644" t="inlineStr">
        <is>
          <t>Kyrkan</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39970-2021</t>
        </is>
      </c>
      <c r="B3645" s="1" t="n">
        <v>44417</v>
      </c>
      <c r="C3645" s="1" t="n">
        <v>45210</v>
      </c>
      <c r="D3645" t="inlineStr">
        <is>
          <t>DALARNAS LÄN</t>
        </is>
      </c>
      <c r="E3645" t="inlineStr">
        <is>
          <t>BORLÄNGE</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40135-2021</t>
        </is>
      </c>
      <c r="B3646" s="1" t="n">
        <v>44418</v>
      </c>
      <c r="C3646" s="1" t="n">
        <v>45210</v>
      </c>
      <c r="D3646" t="inlineStr">
        <is>
          <t>DALARNAS LÄN</t>
        </is>
      </c>
      <c r="E3646" t="inlineStr">
        <is>
          <t>FALUN</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40020-2021</t>
        </is>
      </c>
      <c r="B3647" s="1" t="n">
        <v>44418</v>
      </c>
      <c r="C3647" s="1" t="n">
        <v>45210</v>
      </c>
      <c r="D3647" t="inlineStr">
        <is>
          <t>DALARNAS LÄN</t>
        </is>
      </c>
      <c r="E3647" t="inlineStr">
        <is>
          <t>RÄTTVIK</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40385-2021</t>
        </is>
      </c>
      <c r="B3648" s="1" t="n">
        <v>44419</v>
      </c>
      <c r="C3648" s="1" t="n">
        <v>45210</v>
      </c>
      <c r="D3648" t="inlineStr">
        <is>
          <t>DALARNAS LÄN</t>
        </is>
      </c>
      <c r="E3648" t="inlineStr">
        <is>
          <t>FALUN</t>
        </is>
      </c>
      <c r="G3648" t="n">
        <v>0.2</v>
      </c>
      <c r="H3648" t="n">
        <v>0</v>
      </c>
      <c r="I3648" t="n">
        <v>0</v>
      </c>
      <c r="J3648" t="n">
        <v>0</v>
      </c>
      <c r="K3648" t="n">
        <v>0</v>
      </c>
      <c r="L3648" t="n">
        <v>0</v>
      </c>
      <c r="M3648" t="n">
        <v>0</v>
      </c>
      <c r="N3648" t="n">
        <v>0</v>
      </c>
      <c r="O3648" t="n">
        <v>0</v>
      </c>
      <c r="P3648" t="n">
        <v>0</v>
      </c>
      <c r="Q3648" t="n">
        <v>0</v>
      </c>
      <c r="R3648" s="2" t="inlineStr"/>
    </row>
    <row r="3649" ht="15" customHeight="1">
      <c r="A3649" t="inlineStr">
        <is>
          <t>A 40234-2021</t>
        </is>
      </c>
      <c r="B3649" s="1" t="n">
        <v>44419</v>
      </c>
      <c r="C3649" s="1" t="n">
        <v>45210</v>
      </c>
      <c r="D3649" t="inlineStr">
        <is>
          <t>DALARNAS LÄN</t>
        </is>
      </c>
      <c r="E3649" t="inlineStr">
        <is>
          <t>ÄLVDALEN</t>
        </is>
      </c>
      <c r="F3649" t="inlineStr">
        <is>
          <t>Sveaskog</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40320-2021</t>
        </is>
      </c>
      <c r="B3650" s="1" t="n">
        <v>44419</v>
      </c>
      <c r="C3650" s="1" t="n">
        <v>45210</v>
      </c>
      <c r="D3650" t="inlineStr">
        <is>
          <t>DALARNAS LÄN</t>
        </is>
      </c>
      <c r="E3650" t="inlineStr">
        <is>
          <t>MALUNG-SÄLEN</t>
        </is>
      </c>
      <c r="G3650" t="n">
        <v>0.1</v>
      </c>
      <c r="H3650" t="n">
        <v>0</v>
      </c>
      <c r="I3650" t="n">
        <v>0</v>
      </c>
      <c r="J3650" t="n">
        <v>0</v>
      </c>
      <c r="K3650" t="n">
        <v>0</v>
      </c>
      <c r="L3650" t="n">
        <v>0</v>
      </c>
      <c r="M3650" t="n">
        <v>0</v>
      </c>
      <c r="N3650" t="n">
        <v>0</v>
      </c>
      <c r="O3650" t="n">
        <v>0</v>
      </c>
      <c r="P3650" t="n">
        <v>0</v>
      </c>
      <c r="Q3650" t="n">
        <v>0</v>
      </c>
      <c r="R3650" s="2" t="inlineStr"/>
    </row>
    <row r="3651" ht="15" customHeight="1">
      <c r="A3651" t="inlineStr">
        <is>
          <t>A 40374-2021</t>
        </is>
      </c>
      <c r="B3651" s="1" t="n">
        <v>44419</v>
      </c>
      <c r="C3651" s="1" t="n">
        <v>45210</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40393-2021</t>
        </is>
      </c>
      <c r="B3652" s="1" t="n">
        <v>44419</v>
      </c>
      <c r="C3652" s="1" t="n">
        <v>45210</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40441-2021</t>
        </is>
      </c>
      <c r="B3653" s="1" t="n">
        <v>44419</v>
      </c>
      <c r="C3653" s="1" t="n">
        <v>45210</v>
      </c>
      <c r="D3653" t="inlineStr">
        <is>
          <t>DALARNAS LÄN</t>
        </is>
      </c>
      <c r="E3653" t="inlineStr">
        <is>
          <t>FALUN</t>
        </is>
      </c>
      <c r="F3653" t="inlineStr">
        <is>
          <t>Bergvik skog väst AB</t>
        </is>
      </c>
      <c r="G3653" t="n">
        <v>4.2</v>
      </c>
      <c r="H3653" t="n">
        <v>0</v>
      </c>
      <c r="I3653" t="n">
        <v>0</v>
      </c>
      <c r="J3653" t="n">
        <v>0</v>
      </c>
      <c r="K3653" t="n">
        <v>0</v>
      </c>
      <c r="L3653" t="n">
        <v>0</v>
      </c>
      <c r="M3653" t="n">
        <v>0</v>
      </c>
      <c r="N3653" t="n">
        <v>0</v>
      </c>
      <c r="O3653" t="n">
        <v>0</v>
      </c>
      <c r="P3653" t="n">
        <v>0</v>
      </c>
      <c r="Q3653" t="n">
        <v>0</v>
      </c>
      <c r="R3653" s="2" t="inlineStr"/>
    </row>
    <row r="3654" ht="15" customHeight="1">
      <c r="A3654" t="inlineStr">
        <is>
          <t>A 40584-2021</t>
        </is>
      </c>
      <c r="B3654" s="1" t="n">
        <v>44420</v>
      </c>
      <c r="C3654" s="1" t="n">
        <v>45210</v>
      </c>
      <c r="D3654" t="inlineStr">
        <is>
          <t>DALARNAS LÄN</t>
        </is>
      </c>
      <c r="E3654" t="inlineStr">
        <is>
          <t>LEKSAND</t>
        </is>
      </c>
      <c r="G3654" t="n">
        <v>6</v>
      </c>
      <c r="H3654" t="n">
        <v>0</v>
      </c>
      <c r="I3654" t="n">
        <v>0</v>
      </c>
      <c r="J3654" t="n">
        <v>0</v>
      </c>
      <c r="K3654" t="n">
        <v>0</v>
      </c>
      <c r="L3654" t="n">
        <v>0</v>
      </c>
      <c r="M3654" t="n">
        <v>0</v>
      </c>
      <c r="N3654" t="n">
        <v>0</v>
      </c>
      <c r="O3654" t="n">
        <v>0</v>
      </c>
      <c r="P3654" t="n">
        <v>0</v>
      </c>
      <c r="Q3654" t="n">
        <v>0</v>
      </c>
      <c r="R3654" s="2" t="inlineStr"/>
    </row>
    <row r="3655" ht="15" customHeight="1">
      <c r="A3655" t="inlineStr">
        <is>
          <t>A 40768-2021</t>
        </is>
      </c>
      <c r="B3655" s="1" t="n">
        <v>44420</v>
      </c>
      <c r="C3655" s="1" t="n">
        <v>45210</v>
      </c>
      <c r="D3655" t="inlineStr">
        <is>
          <t>DALARNAS LÄN</t>
        </is>
      </c>
      <c r="E3655" t="inlineStr">
        <is>
          <t>SMEDJEBACKEN</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40561-2021</t>
        </is>
      </c>
      <c r="B3656" s="1" t="n">
        <v>44420</v>
      </c>
      <c r="C3656" s="1" t="n">
        <v>45210</v>
      </c>
      <c r="D3656" t="inlineStr">
        <is>
          <t>DALARNAS LÄN</t>
        </is>
      </c>
      <c r="E3656" t="inlineStr">
        <is>
          <t>SMEDJEBACKEN</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40570-2021</t>
        </is>
      </c>
      <c r="B3657" s="1" t="n">
        <v>44420</v>
      </c>
      <c r="C3657" s="1" t="n">
        <v>45210</v>
      </c>
      <c r="D3657" t="inlineStr">
        <is>
          <t>DALARNAS LÄN</t>
        </is>
      </c>
      <c r="E3657" t="inlineStr">
        <is>
          <t>BORLÄNGE</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40498-2021</t>
        </is>
      </c>
      <c r="B3658" s="1" t="n">
        <v>44420</v>
      </c>
      <c r="C3658" s="1" t="n">
        <v>45210</v>
      </c>
      <c r="D3658" t="inlineStr">
        <is>
          <t>DALARNAS LÄN</t>
        </is>
      </c>
      <c r="E3658" t="inlineStr">
        <is>
          <t>RÄTTVIK</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40582-2021</t>
        </is>
      </c>
      <c r="B3659" s="1" t="n">
        <v>44420</v>
      </c>
      <c r="C3659" s="1" t="n">
        <v>45210</v>
      </c>
      <c r="D3659" t="inlineStr">
        <is>
          <t>DALARNAS LÄN</t>
        </is>
      </c>
      <c r="E3659" t="inlineStr">
        <is>
          <t>LUDVIKA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41022-2021</t>
        </is>
      </c>
      <c r="B3660" s="1" t="n">
        <v>44421</v>
      </c>
      <c r="C3660" s="1" t="n">
        <v>45210</v>
      </c>
      <c r="D3660" t="inlineStr">
        <is>
          <t>DALARNAS LÄN</t>
        </is>
      </c>
      <c r="E3660" t="inlineStr">
        <is>
          <t>MORA</t>
        </is>
      </c>
      <c r="G3660" t="n">
        <v>11.9</v>
      </c>
      <c r="H3660" t="n">
        <v>0</v>
      </c>
      <c r="I3660" t="n">
        <v>0</v>
      </c>
      <c r="J3660" t="n">
        <v>0</v>
      </c>
      <c r="K3660" t="n">
        <v>0</v>
      </c>
      <c r="L3660" t="n">
        <v>0</v>
      </c>
      <c r="M3660" t="n">
        <v>0</v>
      </c>
      <c r="N3660" t="n">
        <v>0</v>
      </c>
      <c r="O3660" t="n">
        <v>0</v>
      </c>
      <c r="P3660" t="n">
        <v>0</v>
      </c>
      <c r="Q3660" t="n">
        <v>0</v>
      </c>
      <c r="R3660" s="2" t="inlineStr"/>
    </row>
    <row r="3661" ht="15" customHeight="1">
      <c r="A3661" t="inlineStr">
        <is>
          <t>A 41047-2021</t>
        </is>
      </c>
      <c r="B3661" s="1" t="n">
        <v>44421</v>
      </c>
      <c r="C3661" s="1" t="n">
        <v>45210</v>
      </c>
      <c r="D3661" t="inlineStr">
        <is>
          <t>DALARNAS LÄN</t>
        </is>
      </c>
      <c r="E3661" t="inlineStr">
        <is>
          <t>HEDEMORA</t>
        </is>
      </c>
      <c r="F3661" t="inlineStr">
        <is>
          <t>Sveaskog</t>
        </is>
      </c>
      <c r="G3661" t="n">
        <v>3.2</v>
      </c>
      <c r="H3661" t="n">
        <v>0</v>
      </c>
      <c r="I3661" t="n">
        <v>0</v>
      </c>
      <c r="J3661" t="n">
        <v>0</v>
      </c>
      <c r="K3661" t="n">
        <v>0</v>
      </c>
      <c r="L3661" t="n">
        <v>0</v>
      </c>
      <c r="M3661" t="n">
        <v>0</v>
      </c>
      <c r="N3661" t="n">
        <v>0</v>
      </c>
      <c r="O3661" t="n">
        <v>0</v>
      </c>
      <c r="P3661" t="n">
        <v>0</v>
      </c>
      <c r="Q3661" t="n">
        <v>0</v>
      </c>
      <c r="R3661" s="2" t="inlineStr"/>
      <c r="U3661">
        <f>HYPERLINK("https://klasma.github.io/Logging_2083/knärot/A 41047-2021.png", "A 41047-2021")</f>
        <v/>
      </c>
      <c r="V3661">
        <f>HYPERLINK("https://klasma.github.io/Logging_2083/klagomål/A 41047-2021.docx", "A 41047-2021")</f>
        <v/>
      </c>
      <c r="W3661">
        <f>HYPERLINK("https://klasma.github.io/Logging_2083/klagomålsmail/A 41047-2021.docx", "A 41047-2021")</f>
        <v/>
      </c>
      <c r="X3661">
        <f>HYPERLINK("https://klasma.github.io/Logging_2083/tillsyn/A 41047-2021.docx", "A 41047-2021")</f>
        <v/>
      </c>
      <c r="Y3661">
        <f>HYPERLINK("https://klasma.github.io/Logging_2083/tillsynsmail/A 41047-2021.docx", "A 41047-2021")</f>
        <v/>
      </c>
    </row>
    <row r="3662" ht="15" customHeight="1">
      <c r="A3662" t="inlineStr">
        <is>
          <t>A 40930-2021</t>
        </is>
      </c>
      <c r="B3662" s="1" t="n">
        <v>44421</v>
      </c>
      <c r="C3662" s="1" t="n">
        <v>45210</v>
      </c>
      <c r="D3662" t="inlineStr">
        <is>
          <t>DALARNAS LÄN</t>
        </is>
      </c>
      <c r="E3662" t="inlineStr">
        <is>
          <t>HEDEMORA</t>
        </is>
      </c>
      <c r="G3662" t="n">
        <v>6.5</v>
      </c>
      <c r="H3662" t="n">
        <v>0</v>
      </c>
      <c r="I3662" t="n">
        <v>0</v>
      </c>
      <c r="J3662" t="n">
        <v>0</v>
      </c>
      <c r="K3662" t="n">
        <v>0</v>
      </c>
      <c r="L3662" t="n">
        <v>0</v>
      </c>
      <c r="M3662" t="n">
        <v>0</v>
      </c>
      <c r="N3662" t="n">
        <v>0</v>
      </c>
      <c r="O3662" t="n">
        <v>0</v>
      </c>
      <c r="P3662" t="n">
        <v>0</v>
      </c>
      <c r="Q3662" t="n">
        <v>0</v>
      </c>
      <c r="R3662" s="2" t="inlineStr"/>
    </row>
    <row r="3663" ht="15" customHeight="1">
      <c r="A3663" t="inlineStr">
        <is>
          <t>A 40919-2021</t>
        </is>
      </c>
      <c r="B3663" s="1" t="n">
        <v>44421</v>
      </c>
      <c r="C3663" s="1" t="n">
        <v>45210</v>
      </c>
      <c r="D3663" t="inlineStr">
        <is>
          <t>DALARNAS LÄN</t>
        </is>
      </c>
      <c r="E3663" t="inlineStr">
        <is>
          <t>ÄLVDALEN</t>
        </is>
      </c>
      <c r="F3663" t="inlineStr">
        <is>
          <t>Kyrkan</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41028-2021</t>
        </is>
      </c>
      <c r="B3664" s="1" t="n">
        <v>44421</v>
      </c>
      <c r="C3664" s="1" t="n">
        <v>45210</v>
      </c>
      <c r="D3664" t="inlineStr">
        <is>
          <t>DALARNAS LÄN</t>
        </is>
      </c>
      <c r="E3664" t="inlineStr">
        <is>
          <t>MORA</t>
        </is>
      </c>
      <c r="G3664" t="n">
        <v>7.2</v>
      </c>
      <c r="H3664" t="n">
        <v>0</v>
      </c>
      <c r="I3664" t="n">
        <v>0</v>
      </c>
      <c r="J3664" t="n">
        <v>0</v>
      </c>
      <c r="K3664" t="n">
        <v>0</v>
      </c>
      <c r="L3664" t="n">
        <v>0</v>
      </c>
      <c r="M3664" t="n">
        <v>0</v>
      </c>
      <c r="N3664" t="n">
        <v>0</v>
      </c>
      <c r="O3664" t="n">
        <v>0</v>
      </c>
      <c r="P3664" t="n">
        <v>0</v>
      </c>
      <c r="Q3664" t="n">
        <v>0</v>
      </c>
      <c r="R3664" s="2" t="inlineStr"/>
    </row>
    <row r="3665" ht="15" customHeight="1">
      <c r="A3665" t="inlineStr">
        <is>
          <t>A 41039-2021</t>
        </is>
      </c>
      <c r="B3665" s="1" t="n">
        <v>44421</v>
      </c>
      <c r="C3665" s="1" t="n">
        <v>45210</v>
      </c>
      <c r="D3665" t="inlineStr">
        <is>
          <t>DALARNAS LÄN</t>
        </is>
      </c>
      <c r="E3665" t="inlineStr">
        <is>
          <t>RÄTTVIK</t>
        </is>
      </c>
      <c r="F3665" t="inlineStr">
        <is>
          <t>Sveaskog</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40915-2021</t>
        </is>
      </c>
      <c r="B3666" s="1" t="n">
        <v>44421</v>
      </c>
      <c r="C3666" s="1" t="n">
        <v>45210</v>
      </c>
      <c r="D3666" t="inlineStr">
        <is>
          <t>DALARNAS LÄN</t>
        </is>
      </c>
      <c r="E3666" t="inlineStr">
        <is>
          <t>FALUN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41020-2021</t>
        </is>
      </c>
      <c r="B3667" s="1" t="n">
        <v>44421</v>
      </c>
      <c r="C3667" s="1" t="n">
        <v>45210</v>
      </c>
      <c r="D3667" t="inlineStr">
        <is>
          <t>DALARNAS LÄN</t>
        </is>
      </c>
      <c r="E3667" t="inlineStr">
        <is>
          <t>ÄLVDALEN</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41032-2021</t>
        </is>
      </c>
      <c r="B3668" s="1" t="n">
        <v>44421</v>
      </c>
      <c r="C3668" s="1" t="n">
        <v>45210</v>
      </c>
      <c r="D3668" t="inlineStr">
        <is>
          <t>DALARNAS LÄN</t>
        </is>
      </c>
      <c r="E3668" t="inlineStr">
        <is>
          <t>MORA</t>
        </is>
      </c>
      <c r="G3668" t="n">
        <v>4.1</v>
      </c>
      <c r="H3668" t="n">
        <v>0</v>
      </c>
      <c r="I3668" t="n">
        <v>0</v>
      </c>
      <c r="J3668" t="n">
        <v>0</v>
      </c>
      <c r="K3668" t="n">
        <v>0</v>
      </c>
      <c r="L3668" t="n">
        <v>0</v>
      </c>
      <c r="M3668" t="n">
        <v>0</v>
      </c>
      <c r="N3668" t="n">
        <v>0</v>
      </c>
      <c r="O3668" t="n">
        <v>0</v>
      </c>
      <c r="P3668" t="n">
        <v>0</v>
      </c>
      <c r="Q3668" t="n">
        <v>0</v>
      </c>
      <c r="R3668" s="2" t="inlineStr"/>
    </row>
    <row r="3669" ht="15" customHeight="1">
      <c r="A3669" t="inlineStr">
        <is>
          <t>A 41295-2021</t>
        </is>
      </c>
      <c r="B3669" s="1" t="n">
        <v>44424</v>
      </c>
      <c r="C3669" s="1" t="n">
        <v>45210</v>
      </c>
      <c r="D3669" t="inlineStr">
        <is>
          <t>DALARNAS LÄN</t>
        </is>
      </c>
      <c r="E3669" t="inlineStr">
        <is>
          <t>ORSA</t>
        </is>
      </c>
      <c r="G3669" t="n">
        <v>3.1</v>
      </c>
      <c r="H3669" t="n">
        <v>0</v>
      </c>
      <c r="I3669" t="n">
        <v>0</v>
      </c>
      <c r="J3669" t="n">
        <v>0</v>
      </c>
      <c r="K3669" t="n">
        <v>0</v>
      </c>
      <c r="L3669" t="n">
        <v>0</v>
      </c>
      <c r="M3669" t="n">
        <v>0</v>
      </c>
      <c r="N3669" t="n">
        <v>0</v>
      </c>
      <c r="O3669" t="n">
        <v>0</v>
      </c>
      <c r="P3669" t="n">
        <v>0</v>
      </c>
      <c r="Q3669" t="n">
        <v>0</v>
      </c>
      <c r="R3669" s="2" t="inlineStr"/>
    </row>
    <row r="3670" ht="15" customHeight="1">
      <c r="A3670" t="inlineStr">
        <is>
          <t>A 41303-2021</t>
        </is>
      </c>
      <c r="B3670" s="1" t="n">
        <v>44424</v>
      </c>
      <c r="C3670" s="1" t="n">
        <v>45210</v>
      </c>
      <c r="D3670" t="inlineStr">
        <is>
          <t>DALARNAS LÄN</t>
        </is>
      </c>
      <c r="E3670" t="inlineStr">
        <is>
          <t>SMEDJEBACKEN</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41200-2021</t>
        </is>
      </c>
      <c r="B3671" s="1" t="n">
        <v>44424</v>
      </c>
      <c r="C3671" s="1" t="n">
        <v>45210</v>
      </c>
      <c r="D3671" t="inlineStr">
        <is>
          <t>DALARNAS LÄN</t>
        </is>
      </c>
      <c r="E3671" t="inlineStr">
        <is>
          <t>MALUNG-SÄLEN</t>
        </is>
      </c>
      <c r="F3671" t="inlineStr">
        <is>
          <t>Bergvik skog öst AB</t>
        </is>
      </c>
      <c r="G3671" t="n">
        <v>2.3</v>
      </c>
      <c r="H3671" t="n">
        <v>0</v>
      </c>
      <c r="I3671" t="n">
        <v>0</v>
      </c>
      <c r="J3671" t="n">
        <v>0</v>
      </c>
      <c r="K3671" t="n">
        <v>0</v>
      </c>
      <c r="L3671" t="n">
        <v>0</v>
      </c>
      <c r="M3671" t="n">
        <v>0</v>
      </c>
      <c r="N3671" t="n">
        <v>0</v>
      </c>
      <c r="O3671" t="n">
        <v>0</v>
      </c>
      <c r="P3671" t="n">
        <v>0</v>
      </c>
      <c r="Q3671" t="n">
        <v>0</v>
      </c>
      <c r="R3671" s="2" t="inlineStr"/>
    </row>
    <row r="3672" ht="15" customHeight="1">
      <c r="A3672" t="inlineStr">
        <is>
          <t>A 41291-2021</t>
        </is>
      </c>
      <c r="B3672" s="1" t="n">
        <v>44424</v>
      </c>
      <c r="C3672" s="1" t="n">
        <v>45210</v>
      </c>
      <c r="D3672" t="inlineStr">
        <is>
          <t>DALARNAS LÄN</t>
        </is>
      </c>
      <c r="E3672" t="inlineStr">
        <is>
          <t>ORSA</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41199-2021</t>
        </is>
      </c>
      <c r="B3673" s="1" t="n">
        <v>44424</v>
      </c>
      <c r="C3673" s="1" t="n">
        <v>45210</v>
      </c>
      <c r="D3673" t="inlineStr">
        <is>
          <t>DALARNAS LÄN</t>
        </is>
      </c>
      <c r="E3673" t="inlineStr">
        <is>
          <t>RÄTTVIK</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41238-2021</t>
        </is>
      </c>
      <c r="B3674" s="1" t="n">
        <v>44424</v>
      </c>
      <c r="C3674" s="1" t="n">
        <v>45210</v>
      </c>
      <c r="D3674" t="inlineStr">
        <is>
          <t>DALARNAS LÄN</t>
        </is>
      </c>
      <c r="E3674" t="inlineStr">
        <is>
          <t>MALUNG-SÄLEN</t>
        </is>
      </c>
      <c r="F3674" t="inlineStr">
        <is>
          <t>Bergvik skog öst AB</t>
        </is>
      </c>
      <c r="G3674" t="n">
        <v>3</v>
      </c>
      <c r="H3674" t="n">
        <v>0</v>
      </c>
      <c r="I3674" t="n">
        <v>0</v>
      </c>
      <c r="J3674" t="n">
        <v>0</v>
      </c>
      <c r="K3674" t="n">
        <v>0</v>
      </c>
      <c r="L3674" t="n">
        <v>0</v>
      </c>
      <c r="M3674" t="n">
        <v>0</v>
      </c>
      <c r="N3674" t="n">
        <v>0</v>
      </c>
      <c r="O3674" t="n">
        <v>0</v>
      </c>
      <c r="P3674" t="n">
        <v>0</v>
      </c>
      <c r="Q3674" t="n">
        <v>0</v>
      </c>
      <c r="R3674" s="2" t="inlineStr"/>
    </row>
    <row r="3675" ht="15" customHeight="1">
      <c r="A3675" t="inlineStr">
        <is>
          <t>A 41454-2021</t>
        </is>
      </c>
      <c r="B3675" s="1" t="n">
        <v>44424</v>
      </c>
      <c r="C3675" s="1" t="n">
        <v>45210</v>
      </c>
      <c r="D3675" t="inlineStr">
        <is>
          <t>DALARNAS LÄN</t>
        </is>
      </c>
      <c r="E3675" t="inlineStr">
        <is>
          <t>FALUN</t>
        </is>
      </c>
      <c r="F3675" t="inlineStr">
        <is>
          <t>Bergvik skog väst AB</t>
        </is>
      </c>
      <c r="G3675" t="n">
        <v>10.4</v>
      </c>
      <c r="H3675" t="n">
        <v>0</v>
      </c>
      <c r="I3675" t="n">
        <v>0</v>
      </c>
      <c r="J3675" t="n">
        <v>0</v>
      </c>
      <c r="K3675" t="n">
        <v>0</v>
      </c>
      <c r="L3675" t="n">
        <v>0</v>
      </c>
      <c r="M3675" t="n">
        <v>0</v>
      </c>
      <c r="N3675" t="n">
        <v>0</v>
      </c>
      <c r="O3675" t="n">
        <v>0</v>
      </c>
      <c r="P3675" t="n">
        <v>0</v>
      </c>
      <c r="Q3675" t="n">
        <v>0</v>
      </c>
      <c r="R3675" s="2" t="inlineStr"/>
    </row>
    <row r="3676" ht="15" customHeight="1">
      <c r="A3676" t="inlineStr">
        <is>
          <t>A 41556-2021</t>
        </is>
      </c>
      <c r="B3676" s="1" t="n">
        <v>44425</v>
      </c>
      <c r="C3676" s="1" t="n">
        <v>45210</v>
      </c>
      <c r="D3676" t="inlineStr">
        <is>
          <t>DALARNAS LÄN</t>
        </is>
      </c>
      <c r="E3676" t="inlineStr">
        <is>
          <t>SÄTER</t>
        </is>
      </c>
      <c r="G3676" t="n">
        <v>10.8</v>
      </c>
      <c r="H3676" t="n">
        <v>0</v>
      </c>
      <c r="I3676" t="n">
        <v>0</v>
      </c>
      <c r="J3676" t="n">
        <v>0</v>
      </c>
      <c r="K3676" t="n">
        <v>0</v>
      </c>
      <c r="L3676" t="n">
        <v>0</v>
      </c>
      <c r="M3676" t="n">
        <v>0</v>
      </c>
      <c r="N3676" t="n">
        <v>0</v>
      </c>
      <c r="O3676" t="n">
        <v>0</v>
      </c>
      <c r="P3676" t="n">
        <v>0</v>
      </c>
      <c r="Q3676" t="n">
        <v>0</v>
      </c>
      <c r="R3676" s="2" t="inlineStr"/>
    </row>
    <row r="3677" ht="15" customHeight="1">
      <c r="A3677" t="inlineStr">
        <is>
          <t>A 41950-2021</t>
        </is>
      </c>
      <c r="B3677" s="1" t="n">
        <v>44426</v>
      </c>
      <c r="C3677" s="1" t="n">
        <v>45210</v>
      </c>
      <c r="D3677" t="inlineStr">
        <is>
          <t>DALARNAS LÄN</t>
        </is>
      </c>
      <c r="E3677" t="inlineStr">
        <is>
          <t>MALUNG-SÄLEN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42207-2021</t>
        </is>
      </c>
      <c r="B3678" s="1" t="n">
        <v>44426</v>
      </c>
      <c r="C3678" s="1" t="n">
        <v>45210</v>
      </c>
      <c r="D3678" t="inlineStr">
        <is>
          <t>DALARNAS LÄN</t>
        </is>
      </c>
      <c r="E3678" t="inlineStr">
        <is>
          <t>VANSBRO</t>
        </is>
      </c>
      <c r="G3678" t="n">
        <v>25.5</v>
      </c>
      <c r="H3678" t="n">
        <v>0</v>
      </c>
      <c r="I3678" t="n">
        <v>0</v>
      </c>
      <c r="J3678" t="n">
        <v>0</v>
      </c>
      <c r="K3678" t="n">
        <v>0</v>
      </c>
      <c r="L3678" t="n">
        <v>0</v>
      </c>
      <c r="M3678" t="n">
        <v>0</v>
      </c>
      <c r="N3678" t="n">
        <v>0</v>
      </c>
      <c r="O3678" t="n">
        <v>0</v>
      </c>
      <c r="P3678" t="n">
        <v>0</v>
      </c>
      <c r="Q3678" t="n">
        <v>0</v>
      </c>
      <c r="R3678" s="2" t="inlineStr"/>
    </row>
    <row r="3679" ht="15" customHeight="1">
      <c r="A3679" t="inlineStr">
        <is>
          <t>A 42290-2021</t>
        </is>
      </c>
      <c r="B3679" s="1" t="n">
        <v>44426</v>
      </c>
      <c r="C3679" s="1" t="n">
        <v>45210</v>
      </c>
      <c r="D3679" t="inlineStr">
        <is>
          <t>DALARNAS LÄN</t>
        </is>
      </c>
      <c r="E3679" t="inlineStr">
        <is>
          <t>SMEDJEBACKEN</t>
        </is>
      </c>
      <c r="F3679" t="inlineStr">
        <is>
          <t>Bergvik skog väst AB</t>
        </is>
      </c>
      <c r="G3679" t="n">
        <v>5.5</v>
      </c>
      <c r="H3679" t="n">
        <v>0</v>
      </c>
      <c r="I3679" t="n">
        <v>0</v>
      </c>
      <c r="J3679" t="n">
        <v>0</v>
      </c>
      <c r="K3679" t="n">
        <v>0</v>
      </c>
      <c r="L3679" t="n">
        <v>0</v>
      </c>
      <c r="M3679" t="n">
        <v>0</v>
      </c>
      <c r="N3679" t="n">
        <v>0</v>
      </c>
      <c r="O3679" t="n">
        <v>0</v>
      </c>
      <c r="P3679" t="n">
        <v>0</v>
      </c>
      <c r="Q3679" t="n">
        <v>0</v>
      </c>
      <c r="R3679" s="2" t="inlineStr"/>
    </row>
    <row r="3680" ht="15" customHeight="1">
      <c r="A3680" t="inlineStr">
        <is>
          <t>A 41857-2021</t>
        </is>
      </c>
      <c r="B3680" s="1" t="n">
        <v>44426</v>
      </c>
      <c r="C3680" s="1" t="n">
        <v>45210</v>
      </c>
      <c r="D3680" t="inlineStr">
        <is>
          <t>DALARNAS LÄN</t>
        </is>
      </c>
      <c r="E3680" t="inlineStr">
        <is>
          <t>BORLÄNGE</t>
        </is>
      </c>
      <c r="G3680" t="n">
        <v>5.3</v>
      </c>
      <c r="H3680" t="n">
        <v>0</v>
      </c>
      <c r="I3680" t="n">
        <v>0</v>
      </c>
      <c r="J3680" t="n">
        <v>0</v>
      </c>
      <c r="K3680" t="n">
        <v>0</v>
      </c>
      <c r="L3680" t="n">
        <v>0</v>
      </c>
      <c r="M3680" t="n">
        <v>0</v>
      </c>
      <c r="N3680" t="n">
        <v>0</v>
      </c>
      <c r="O3680" t="n">
        <v>0</v>
      </c>
      <c r="P3680" t="n">
        <v>0</v>
      </c>
      <c r="Q3680" t="n">
        <v>0</v>
      </c>
      <c r="R3680" s="2" t="inlineStr"/>
    </row>
    <row r="3681" ht="15" customHeight="1">
      <c r="A3681" t="inlineStr">
        <is>
          <t>A 42508-2021</t>
        </is>
      </c>
      <c r="B3681" s="1" t="n">
        <v>44427</v>
      </c>
      <c r="C3681" s="1" t="n">
        <v>45210</v>
      </c>
      <c r="D3681" t="inlineStr">
        <is>
          <t>DALARNAS LÄN</t>
        </is>
      </c>
      <c r="E3681" t="inlineStr">
        <is>
          <t>MORA</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42431-2021</t>
        </is>
      </c>
      <c r="B3682" s="1" t="n">
        <v>44427</v>
      </c>
      <c r="C3682" s="1" t="n">
        <v>45210</v>
      </c>
      <c r="D3682" t="inlineStr">
        <is>
          <t>DALARNAS LÄN</t>
        </is>
      </c>
      <c r="E3682" t="inlineStr">
        <is>
          <t>VANSBRO</t>
        </is>
      </c>
      <c r="F3682" t="inlineStr">
        <is>
          <t>Bergvik skog väst AB</t>
        </is>
      </c>
      <c r="G3682" t="n">
        <v>7.6</v>
      </c>
      <c r="H3682" t="n">
        <v>0</v>
      </c>
      <c r="I3682" t="n">
        <v>0</v>
      </c>
      <c r="J3682" t="n">
        <v>0</v>
      </c>
      <c r="K3682" t="n">
        <v>0</v>
      </c>
      <c r="L3682" t="n">
        <v>0</v>
      </c>
      <c r="M3682" t="n">
        <v>0</v>
      </c>
      <c r="N3682" t="n">
        <v>0</v>
      </c>
      <c r="O3682" t="n">
        <v>0</v>
      </c>
      <c r="P3682" t="n">
        <v>0</v>
      </c>
      <c r="Q3682" t="n">
        <v>0</v>
      </c>
      <c r="R3682" s="2" t="inlineStr"/>
    </row>
    <row r="3683" ht="15" customHeight="1">
      <c r="A3683" t="inlineStr">
        <is>
          <t>A 42418-2021</t>
        </is>
      </c>
      <c r="B3683" s="1" t="n">
        <v>44427</v>
      </c>
      <c r="C3683" s="1" t="n">
        <v>45210</v>
      </c>
      <c r="D3683" t="inlineStr">
        <is>
          <t>DALARNAS LÄN</t>
        </is>
      </c>
      <c r="E3683" t="inlineStr">
        <is>
          <t>SMEDJEBACKEN</t>
        </is>
      </c>
      <c r="F3683" t="inlineStr">
        <is>
          <t>Bergvik skog väst AB</t>
        </is>
      </c>
      <c r="G3683" t="n">
        <v>2.8</v>
      </c>
      <c r="H3683" t="n">
        <v>0</v>
      </c>
      <c r="I3683" t="n">
        <v>0</v>
      </c>
      <c r="J3683" t="n">
        <v>0</v>
      </c>
      <c r="K3683" t="n">
        <v>0</v>
      </c>
      <c r="L3683" t="n">
        <v>0</v>
      </c>
      <c r="M3683" t="n">
        <v>0</v>
      </c>
      <c r="N3683" t="n">
        <v>0</v>
      </c>
      <c r="O3683" t="n">
        <v>0</v>
      </c>
      <c r="P3683" t="n">
        <v>0</v>
      </c>
      <c r="Q3683" t="n">
        <v>0</v>
      </c>
      <c r="R3683" s="2" t="inlineStr"/>
    </row>
    <row r="3684" ht="15" customHeight="1">
      <c r="A3684" t="inlineStr">
        <is>
          <t>A 42478-2021</t>
        </is>
      </c>
      <c r="B3684" s="1" t="n">
        <v>44427</v>
      </c>
      <c r="C3684" s="1" t="n">
        <v>45210</v>
      </c>
      <c r="D3684" t="inlineStr">
        <is>
          <t>DALARNAS LÄN</t>
        </is>
      </c>
      <c r="E3684" t="inlineStr">
        <is>
          <t>BORLÄNGE</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42505-2021</t>
        </is>
      </c>
      <c r="B3685" s="1" t="n">
        <v>44427</v>
      </c>
      <c r="C3685" s="1" t="n">
        <v>45210</v>
      </c>
      <c r="D3685" t="inlineStr">
        <is>
          <t>DALARNAS LÄN</t>
        </is>
      </c>
      <c r="E3685" t="inlineStr">
        <is>
          <t>MORA</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42786-2021</t>
        </is>
      </c>
      <c r="B3686" s="1" t="n">
        <v>44428</v>
      </c>
      <c r="C3686" s="1" t="n">
        <v>45210</v>
      </c>
      <c r="D3686" t="inlineStr">
        <is>
          <t>DALARNAS LÄN</t>
        </is>
      </c>
      <c r="E3686" t="inlineStr">
        <is>
          <t>VANSBRO</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43135-2021</t>
        </is>
      </c>
      <c r="B3687" s="1" t="n">
        <v>44431</v>
      </c>
      <c r="C3687" s="1" t="n">
        <v>45210</v>
      </c>
      <c r="D3687" t="inlineStr">
        <is>
          <t>DALARNAS LÄN</t>
        </is>
      </c>
      <c r="E3687" t="inlineStr">
        <is>
          <t>SMEDJEBACKEN</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42948-2021</t>
        </is>
      </c>
      <c r="B3688" s="1" t="n">
        <v>44431</v>
      </c>
      <c r="C3688" s="1" t="n">
        <v>45210</v>
      </c>
      <c r="D3688" t="inlineStr">
        <is>
          <t>DALARNAS LÄN</t>
        </is>
      </c>
      <c r="E3688" t="inlineStr">
        <is>
          <t>FALUN</t>
        </is>
      </c>
      <c r="G3688" t="n">
        <v>13.1</v>
      </c>
      <c r="H3688" t="n">
        <v>0</v>
      </c>
      <c r="I3688" t="n">
        <v>0</v>
      </c>
      <c r="J3688" t="n">
        <v>0</v>
      </c>
      <c r="K3688" t="n">
        <v>0</v>
      </c>
      <c r="L3688" t="n">
        <v>0</v>
      </c>
      <c r="M3688" t="n">
        <v>0</v>
      </c>
      <c r="N3688" t="n">
        <v>0</v>
      </c>
      <c r="O3688" t="n">
        <v>0</v>
      </c>
      <c r="P3688" t="n">
        <v>0</v>
      </c>
      <c r="Q3688" t="n">
        <v>0</v>
      </c>
      <c r="R3688" s="2" t="inlineStr"/>
    </row>
    <row r="3689" ht="15" customHeight="1">
      <c r="A3689" t="inlineStr">
        <is>
          <t>A 43137-2021</t>
        </is>
      </c>
      <c r="B3689" s="1" t="n">
        <v>44431</v>
      </c>
      <c r="C3689" s="1" t="n">
        <v>45210</v>
      </c>
      <c r="D3689" t="inlineStr">
        <is>
          <t>DALARNAS LÄN</t>
        </is>
      </c>
      <c r="E3689" t="inlineStr">
        <is>
          <t>SMEDJEBACKEN</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43375-2021</t>
        </is>
      </c>
      <c r="B3690" s="1" t="n">
        <v>44432</v>
      </c>
      <c r="C3690" s="1" t="n">
        <v>45210</v>
      </c>
      <c r="D3690" t="inlineStr">
        <is>
          <t>DALARNAS LÄN</t>
        </is>
      </c>
      <c r="E3690" t="inlineStr">
        <is>
          <t>SMEDJEBACKEN</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43391-2021</t>
        </is>
      </c>
      <c r="B3691" s="1" t="n">
        <v>44432</v>
      </c>
      <c r="C3691" s="1" t="n">
        <v>45210</v>
      </c>
      <c r="D3691" t="inlineStr">
        <is>
          <t>DALARNAS LÄN</t>
        </is>
      </c>
      <c r="E3691" t="inlineStr">
        <is>
          <t>ORSA</t>
        </is>
      </c>
      <c r="F3691" t="inlineStr">
        <is>
          <t>Bergvik skog öst AB</t>
        </is>
      </c>
      <c r="G3691" t="n">
        <v>6.8</v>
      </c>
      <c r="H3691" t="n">
        <v>0</v>
      </c>
      <c r="I3691" t="n">
        <v>0</v>
      </c>
      <c r="J3691" t="n">
        <v>0</v>
      </c>
      <c r="K3691" t="n">
        <v>0</v>
      </c>
      <c r="L3691" t="n">
        <v>0</v>
      </c>
      <c r="M3691" t="n">
        <v>0</v>
      </c>
      <c r="N3691" t="n">
        <v>0</v>
      </c>
      <c r="O3691" t="n">
        <v>0</v>
      </c>
      <c r="P3691" t="n">
        <v>0</v>
      </c>
      <c r="Q3691" t="n">
        <v>0</v>
      </c>
      <c r="R3691" s="2" t="inlineStr"/>
    </row>
    <row r="3692" ht="15" customHeight="1">
      <c r="A3692" t="inlineStr">
        <is>
          <t>A 43417-2021</t>
        </is>
      </c>
      <c r="B3692" s="1" t="n">
        <v>44432</v>
      </c>
      <c r="C3692" s="1" t="n">
        <v>45210</v>
      </c>
      <c r="D3692" t="inlineStr">
        <is>
          <t>DALARNAS LÄN</t>
        </is>
      </c>
      <c r="E3692" t="inlineStr">
        <is>
          <t>RÄTTVIK</t>
        </is>
      </c>
      <c r="F3692" t="inlineStr">
        <is>
          <t>Kyrkan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43458-2021</t>
        </is>
      </c>
      <c r="B3693" s="1" t="n">
        <v>44432</v>
      </c>
      <c r="C3693" s="1" t="n">
        <v>45210</v>
      </c>
      <c r="D3693" t="inlineStr">
        <is>
          <t>DALARNAS LÄN</t>
        </is>
      </c>
      <c r="E3693" t="inlineStr">
        <is>
          <t>MORA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43531-2021</t>
        </is>
      </c>
      <c r="B3694" s="1" t="n">
        <v>44433</v>
      </c>
      <c r="C3694" s="1" t="n">
        <v>45210</v>
      </c>
      <c r="D3694" t="inlineStr">
        <is>
          <t>DALARNAS LÄN</t>
        </is>
      </c>
      <c r="E3694" t="inlineStr">
        <is>
          <t>BORLÄNGE</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43672-2021</t>
        </is>
      </c>
      <c r="B3695" s="1" t="n">
        <v>44433</v>
      </c>
      <c r="C3695" s="1" t="n">
        <v>45210</v>
      </c>
      <c r="D3695" t="inlineStr">
        <is>
          <t>DALARNAS LÄN</t>
        </is>
      </c>
      <c r="E3695" t="inlineStr">
        <is>
          <t>MALUNG-SÄLEN</t>
        </is>
      </c>
      <c r="F3695" t="inlineStr">
        <is>
          <t>Övriga statliga verk och myndigheter</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43725-2021</t>
        </is>
      </c>
      <c r="B3696" s="1" t="n">
        <v>44433</v>
      </c>
      <c r="C3696" s="1" t="n">
        <v>45210</v>
      </c>
      <c r="D3696" t="inlineStr">
        <is>
          <t>DALARNAS LÄN</t>
        </is>
      </c>
      <c r="E3696" t="inlineStr">
        <is>
          <t>SÄTER</t>
        </is>
      </c>
      <c r="G3696" t="n">
        <v>4.2</v>
      </c>
      <c r="H3696" t="n">
        <v>0</v>
      </c>
      <c r="I3696" t="n">
        <v>0</v>
      </c>
      <c r="J3696" t="n">
        <v>0</v>
      </c>
      <c r="K3696" t="n">
        <v>0</v>
      </c>
      <c r="L3696" t="n">
        <v>0</v>
      </c>
      <c r="M3696" t="n">
        <v>0</v>
      </c>
      <c r="N3696" t="n">
        <v>0</v>
      </c>
      <c r="O3696" t="n">
        <v>0</v>
      </c>
      <c r="P3696" t="n">
        <v>0</v>
      </c>
      <c r="Q3696" t="n">
        <v>0</v>
      </c>
      <c r="R3696" s="2" t="inlineStr"/>
    </row>
    <row r="3697" ht="15" customHeight="1">
      <c r="A3697" t="inlineStr">
        <is>
          <t>A 44249-2021</t>
        </is>
      </c>
      <c r="B3697" s="1" t="n">
        <v>44434</v>
      </c>
      <c r="C3697" s="1" t="n">
        <v>45210</v>
      </c>
      <c r="D3697" t="inlineStr">
        <is>
          <t>DALARNAS LÄN</t>
        </is>
      </c>
      <c r="E3697" t="inlineStr">
        <is>
          <t>SMEDJEBACKEN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43944-2021</t>
        </is>
      </c>
      <c r="B3698" s="1" t="n">
        <v>44434</v>
      </c>
      <c r="C3698" s="1" t="n">
        <v>45210</v>
      </c>
      <c r="D3698" t="inlineStr">
        <is>
          <t>DALARNAS LÄN</t>
        </is>
      </c>
      <c r="E3698" t="inlineStr">
        <is>
          <t>BORLÄNGE</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43907-2021</t>
        </is>
      </c>
      <c r="B3699" s="1" t="n">
        <v>44434</v>
      </c>
      <c r="C3699" s="1" t="n">
        <v>45210</v>
      </c>
      <c r="D3699" t="inlineStr">
        <is>
          <t>DALARNAS LÄN</t>
        </is>
      </c>
      <c r="E3699" t="inlineStr">
        <is>
          <t>LUDVIKA</t>
        </is>
      </c>
      <c r="F3699" t="inlineStr">
        <is>
          <t>Bergvik skog väst AB</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44065-2021</t>
        </is>
      </c>
      <c r="B3700" s="1" t="n">
        <v>44434</v>
      </c>
      <c r="C3700" s="1" t="n">
        <v>45210</v>
      </c>
      <c r="D3700" t="inlineStr">
        <is>
          <t>DALARNAS LÄN</t>
        </is>
      </c>
      <c r="E3700" t="inlineStr">
        <is>
          <t>HEDEMORA</t>
        </is>
      </c>
      <c r="F3700" t="inlineStr">
        <is>
          <t>Bergvik skog väst AB</t>
        </is>
      </c>
      <c r="G3700" t="n">
        <v>9.1</v>
      </c>
      <c r="H3700" t="n">
        <v>0</v>
      </c>
      <c r="I3700" t="n">
        <v>0</v>
      </c>
      <c r="J3700" t="n">
        <v>0</v>
      </c>
      <c r="K3700" t="n">
        <v>0</v>
      </c>
      <c r="L3700" t="n">
        <v>0</v>
      </c>
      <c r="M3700" t="n">
        <v>0</v>
      </c>
      <c r="N3700" t="n">
        <v>0</v>
      </c>
      <c r="O3700" t="n">
        <v>0</v>
      </c>
      <c r="P3700" t="n">
        <v>0</v>
      </c>
      <c r="Q3700" t="n">
        <v>0</v>
      </c>
      <c r="R3700" s="2" t="inlineStr"/>
    </row>
    <row r="3701" ht="15" customHeight="1">
      <c r="A3701" t="inlineStr">
        <is>
          <t>A 44250-2021</t>
        </is>
      </c>
      <c r="B3701" s="1" t="n">
        <v>44434</v>
      </c>
      <c r="C3701" s="1" t="n">
        <v>45210</v>
      </c>
      <c r="D3701" t="inlineStr">
        <is>
          <t>DALARNAS LÄN</t>
        </is>
      </c>
      <c r="E3701" t="inlineStr">
        <is>
          <t>SMEDJEBACKEN</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44307-2021</t>
        </is>
      </c>
      <c r="B3702" s="1" t="n">
        <v>44435</v>
      </c>
      <c r="C3702" s="1" t="n">
        <v>45210</v>
      </c>
      <c r="D3702" t="inlineStr">
        <is>
          <t>DALARNAS LÄN</t>
        </is>
      </c>
      <c r="E3702" t="inlineStr">
        <is>
          <t>MORA</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44426-2021</t>
        </is>
      </c>
      <c r="B3703" s="1" t="n">
        <v>44435</v>
      </c>
      <c r="C3703" s="1" t="n">
        <v>45210</v>
      </c>
      <c r="D3703" t="inlineStr">
        <is>
          <t>DALARNAS LÄN</t>
        </is>
      </c>
      <c r="E3703" t="inlineStr">
        <is>
          <t>MORA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44386-2021</t>
        </is>
      </c>
      <c r="B3704" s="1" t="n">
        <v>44435</v>
      </c>
      <c r="C3704" s="1" t="n">
        <v>45210</v>
      </c>
      <c r="D3704" t="inlineStr">
        <is>
          <t>DALARNAS LÄN</t>
        </is>
      </c>
      <c r="E3704" t="inlineStr">
        <is>
          <t>ÄLVDALEN</t>
        </is>
      </c>
      <c r="F3704" t="inlineStr">
        <is>
          <t>Sveaskog</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44413-2021</t>
        </is>
      </c>
      <c r="B3705" s="1" t="n">
        <v>44435</v>
      </c>
      <c r="C3705" s="1" t="n">
        <v>45210</v>
      </c>
      <c r="D3705" t="inlineStr">
        <is>
          <t>DALARNAS LÄN</t>
        </is>
      </c>
      <c r="E3705" t="inlineStr">
        <is>
          <t>ÄLVDALEN</t>
        </is>
      </c>
      <c r="F3705" t="inlineStr">
        <is>
          <t>Sveaskog</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44505-2021</t>
        </is>
      </c>
      <c r="B3706" s="1" t="n">
        <v>44435</v>
      </c>
      <c r="C3706" s="1" t="n">
        <v>45210</v>
      </c>
      <c r="D3706" t="inlineStr">
        <is>
          <t>DALARNAS LÄN</t>
        </is>
      </c>
      <c r="E3706" t="inlineStr">
        <is>
          <t>MALUNG-SÄLEN</t>
        </is>
      </c>
      <c r="G3706" t="n">
        <v>0.3</v>
      </c>
      <c r="H3706" t="n">
        <v>0</v>
      </c>
      <c r="I3706" t="n">
        <v>0</v>
      </c>
      <c r="J3706" t="n">
        <v>0</v>
      </c>
      <c r="K3706" t="n">
        <v>0</v>
      </c>
      <c r="L3706" t="n">
        <v>0</v>
      </c>
      <c r="M3706" t="n">
        <v>0</v>
      </c>
      <c r="N3706" t="n">
        <v>0</v>
      </c>
      <c r="O3706" t="n">
        <v>0</v>
      </c>
      <c r="P3706" t="n">
        <v>0</v>
      </c>
      <c r="Q3706" t="n">
        <v>0</v>
      </c>
      <c r="R3706" s="2" t="inlineStr"/>
    </row>
    <row r="3707" ht="15" customHeight="1">
      <c r="A3707" t="inlineStr">
        <is>
          <t>A 44756-2021</t>
        </is>
      </c>
      <c r="B3707" s="1" t="n">
        <v>44438</v>
      </c>
      <c r="C3707" s="1" t="n">
        <v>45210</v>
      </c>
      <c r="D3707" t="inlineStr">
        <is>
          <t>DALARNAS LÄN</t>
        </is>
      </c>
      <c r="E3707" t="inlineStr">
        <is>
          <t>MORA</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44765-2021</t>
        </is>
      </c>
      <c r="B3708" s="1" t="n">
        <v>44438</v>
      </c>
      <c r="C3708" s="1" t="n">
        <v>45210</v>
      </c>
      <c r="D3708" t="inlineStr">
        <is>
          <t>DALARNAS LÄN</t>
        </is>
      </c>
      <c r="E3708" t="inlineStr">
        <is>
          <t>MORA</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44860-2021</t>
        </is>
      </c>
      <c r="B3709" s="1" t="n">
        <v>44438</v>
      </c>
      <c r="C3709" s="1" t="n">
        <v>45210</v>
      </c>
      <c r="D3709" t="inlineStr">
        <is>
          <t>DALARNAS LÄN</t>
        </is>
      </c>
      <c r="E3709" t="inlineStr">
        <is>
          <t>MALUNG-SÄLEN</t>
        </is>
      </c>
      <c r="G3709" t="n">
        <v>14.9</v>
      </c>
      <c r="H3709" t="n">
        <v>0</v>
      </c>
      <c r="I3709" t="n">
        <v>0</v>
      </c>
      <c r="J3709" t="n">
        <v>0</v>
      </c>
      <c r="K3709" t="n">
        <v>0</v>
      </c>
      <c r="L3709" t="n">
        <v>0</v>
      </c>
      <c r="M3709" t="n">
        <v>0</v>
      </c>
      <c r="N3709" t="n">
        <v>0</v>
      </c>
      <c r="O3709" t="n">
        <v>0</v>
      </c>
      <c r="P3709" t="n">
        <v>0</v>
      </c>
      <c r="Q3709" t="n">
        <v>0</v>
      </c>
      <c r="R3709" s="2" t="inlineStr"/>
    </row>
    <row r="3710" ht="15" customHeight="1">
      <c r="A3710" t="inlineStr">
        <is>
          <t>A 44946-2021</t>
        </is>
      </c>
      <c r="B3710" s="1" t="n">
        <v>44438</v>
      </c>
      <c r="C3710" s="1" t="n">
        <v>45210</v>
      </c>
      <c r="D3710" t="inlineStr">
        <is>
          <t>DALARNAS LÄN</t>
        </is>
      </c>
      <c r="E3710" t="inlineStr">
        <is>
          <t>MALUNG-SÄLEN</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50325-2021</t>
        </is>
      </c>
      <c r="B3711" s="1" t="n">
        <v>44438</v>
      </c>
      <c r="C3711" s="1" t="n">
        <v>45210</v>
      </c>
      <c r="D3711" t="inlineStr">
        <is>
          <t>DALARNAS LÄN</t>
        </is>
      </c>
      <c r="E3711" t="inlineStr">
        <is>
          <t>BORLÄNGE</t>
        </is>
      </c>
      <c r="F3711" t="inlineStr">
        <is>
          <t>Bergvik skog väst AB</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44769-2021</t>
        </is>
      </c>
      <c r="B3712" s="1" t="n">
        <v>44438</v>
      </c>
      <c r="C3712" s="1" t="n">
        <v>45210</v>
      </c>
      <c r="D3712" t="inlineStr">
        <is>
          <t>DALARNAS LÄN</t>
        </is>
      </c>
      <c r="E3712" t="inlineStr">
        <is>
          <t>MORA</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50418-2021</t>
        </is>
      </c>
      <c r="B3713" s="1" t="n">
        <v>44438</v>
      </c>
      <c r="C3713" s="1" t="n">
        <v>45210</v>
      </c>
      <c r="D3713" t="inlineStr">
        <is>
          <t>DALARNAS LÄN</t>
        </is>
      </c>
      <c r="E3713" t="inlineStr">
        <is>
          <t>BORLÄNGE</t>
        </is>
      </c>
      <c r="F3713" t="inlineStr">
        <is>
          <t>Bergvik skog väst AB</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44867-2021</t>
        </is>
      </c>
      <c r="B3714" s="1" t="n">
        <v>44438</v>
      </c>
      <c r="C3714" s="1" t="n">
        <v>45210</v>
      </c>
      <c r="D3714" t="inlineStr">
        <is>
          <t>DALARNAS LÄN</t>
        </is>
      </c>
      <c r="E3714" t="inlineStr">
        <is>
          <t>MALUNG-SÄLEN</t>
        </is>
      </c>
      <c r="G3714" t="n">
        <v>12.6</v>
      </c>
      <c r="H3714" t="n">
        <v>0</v>
      </c>
      <c r="I3714" t="n">
        <v>0</v>
      </c>
      <c r="J3714" t="n">
        <v>0</v>
      </c>
      <c r="K3714" t="n">
        <v>0</v>
      </c>
      <c r="L3714" t="n">
        <v>0</v>
      </c>
      <c r="M3714" t="n">
        <v>0</v>
      </c>
      <c r="N3714" t="n">
        <v>0</v>
      </c>
      <c r="O3714" t="n">
        <v>0</v>
      </c>
      <c r="P3714" t="n">
        <v>0</v>
      </c>
      <c r="Q3714" t="n">
        <v>0</v>
      </c>
      <c r="R3714" s="2" t="inlineStr"/>
    </row>
    <row r="3715" ht="15" customHeight="1">
      <c r="A3715" t="inlineStr">
        <is>
          <t>A 45083-2021</t>
        </is>
      </c>
      <c r="B3715" s="1" t="n">
        <v>44438</v>
      </c>
      <c r="C3715" s="1" t="n">
        <v>45210</v>
      </c>
      <c r="D3715" t="inlineStr">
        <is>
          <t>DALARNAS LÄN</t>
        </is>
      </c>
      <c r="E3715" t="inlineStr">
        <is>
          <t>BORLÄNGE</t>
        </is>
      </c>
      <c r="F3715" t="inlineStr">
        <is>
          <t>Bergvik skog väst AB</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45085-2021</t>
        </is>
      </c>
      <c r="B3716" s="1" t="n">
        <v>44439</v>
      </c>
      <c r="C3716" s="1" t="n">
        <v>45210</v>
      </c>
      <c r="D3716" t="inlineStr">
        <is>
          <t>DALARNAS LÄN</t>
        </is>
      </c>
      <c r="E3716" t="inlineStr">
        <is>
          <t>BORLÄNGE</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45313-2021</t>
        </is>
      </c>
      <c r="B3717" s="1" t="n">
        <v>44439</v>
      </c>
      <c r="C3717" s="1" t="n">
        <v>45210</v>
      </c>
      <c r="D3717" t="inlineStr">
        <is>
          <t>DALARNAS LÄN</t>
        </is>
      </c>
      <c r="E3717" t="inlineStr">
        <is>
          <t>LUDVIKA</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45195-2021</t>
        </is>
      </c>
      <c r="B3718" s="1" t="n">
        <v>44439</v>
      </c>
      <c r="C3718" s="1" t="n">
        <v>45210</v>
      </c>
      <c r="D3718" t="inlineStr">
        <is>
          <t>DALARNAS LÄN</t>
        </is>
      </c>
      <c r="E3718" t="inlineStr">
        <is>
          <t>MALUNG-SÄLEN</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45155-2021</t>
        </is>
      </c>
      <c r="B3719" s="1" t="n">
        <v>44439</v>
      </c>
      <c r="C3719" s="1" t="n">
        <v>45210</v>
      </c>
      <c r="D3719" t="inlineStr">
        <is>
          <t>DALARNAS LÄN</t>
        </is>
      </c>
      <c r="E3719" t="inlineStr">
        <is>
          <t>LEKSAND</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45167-2021</t>
        </is>
      </c>
      <c r="B3720" s="1" t="n">
        <v>44439</v>
      </c>
      <c r="C3720" s="1" t="n">
        <v>45210</v>
      </c>
      <c r="D3720" t="inlineStr">
        <is>
          <t>DALARNAS LÄN</t>
        </is>
      </c>
      <c r="E3720" t="inlineStr">
        <is>
          <t>FALUN</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45193-2021</t>
        </is>
      </c>
      <c r="B3721" s="1" t="n">
        <v>44439</v>
      </c>
      <c r="C3721" s="1" t="n">
        <v>45210</v>
      </c>
      <c r="D3721" t="inlineStr">
        <is>
          <t>DALARNAS LÄN</t>
        </is>
      </c>
      <c r="E3721" t="inlineStr">
        <is>
          <t>MALUNG-SÄLEN</t>
        </is>
      </c>
      <c r="G3721" t="n">
        <v>5.2</v>
      </c>
      <c r="H3721" t="n">
        <v>0</v>
      </c>
      <c r="I3721" t="n">
        <v>0</v>
      </c>
      <c r="J3721" t="n">
        <v>0</v>
      </c>
      <c r="K3721" t="n">
        <v>0</v>
      </c>
      <c r="L3721" t="n">
        <v>0</v>
      </c>
      <c r="M3721" t="n">
        <v>0</v>
      </c>
      <c r="N3721" t="n">
        <v>0</v>
      </c>
      <c r="O3721" t="n">
        <v>0</v>
      </c>
      <c r="P3721" t="n">
        <v>0</v>
      </c>
      <c r="Q3721" t="n">
        <v>0</v>
      </c>
      <c r="R3721" s="2" t="inlineStr"/>
    </row>
    <row r="3722" ht="15" customHeight="1">
      <c r="A3722" t="inlineStr">
        <is>
          <t>A 45382-2021</t>
        </is>
      </c>
      <c r="B3722" s="1" t="n">
        <v>44440</v>
      </c>
      <c r="C3722" s="1" t="n">
        <v>45210</v>
      </c>
      <c r="D3722" t="inlineStr">
        <is>
          <t>DALARNAS LÄN</t>
        </is>
      </c>
      <c r="E3722" t="inlineStr">
        <is>
          <t>SMEDJEBACKEN</t>
        </is>
      </c>
      <c r="F3722" t="inlineStr">
        <is>
          <t>Kyrkan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45440-2021</t>
        </is>
      </c>
      <c r="B3723" s="1" t="n">
        <v>44440</v>
      </c>
      <c r="C3723" s="1" t="n">
        <v>45210</v>
      </c>
      <c r="D3723" t="inlineStr">
        <is>
          <t>DALARNAS LÄN</t>
        </is>
      </c>
      <c r="E3723" t="inlineStr">
        <is>
          <t>MALUNG-SÄLEN</t>
        </is>
      </c>
      <c r="F3723" t="inlineStr">
        <is>
          <t>Kommuner</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45453-2021</t>
        </is>
      </c>
      <c r="B3724" s="1" t="n">
        <v>44440</v>
      </c>
      <c r="C3724" s="1" t="n">
        <v>45210</v>
      </c>
      <c r="D3724" t="inlineStr">
        <is>
          <t>DALARNAS LÄN</t>
        </is>
      </c>
      <c r="E3724" t="inlineStr">
        <is>
          <t>MORA</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45788-2021</t>
        </is>
      </c>
      <c r="B3725" s="1" t="n">
        <v>44441</v>
      </c>
      <c r="C3725" s="1" t="n">
        <v>45210</v>
      </c>
      <c r="D3725" t="inlineStr">
        <is>
          <t>DALARNAS LÄN</t>
        </is>
      </c>
      <c r="E3725" t="inlineStr">
        <is>
          <t>LEKSAND</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45770-2021</t>
        </is>
      </c>
      <c r="B3726" s="1" t="n">
        <v>44441</v>
      </c>
      <c r="C3726" s="1" t="n">
        <v>45210</v>
      </c>
      <c r="D3726" t="inlineStr">
        <is>
          <t>DALARNAS LÄN</t>
        </is>
      </c>
      <c r="E3726" t="inlineStr">
        <is>
          <t>MORA</t>
        </is>
      </c>
      <c r="G3726" t="n">
        <v>23.1</v>
      </c>
      <c r="H3726" t="n">
        <v>0</v>
      </c>
      <c r="I3726" t="n">
        <v>0</v>
      </c>
      <c r="J3726" t="n">
        <v>0</v>
      </c>
      <c r="K3726" t="n">
        <v>0</v>
      </c>
      <c r="L3726" t="n">
        <v>0</v>
      </c>
      <c r="M3726" t="n">
        <v>0</v>
      </c>
      <c r="N3726" t="n">
        <v>0</v>
      </c>
      <c r="O3726" t="n">
        <v>0</v>
      </c>
      <c r="P3726" t="n">
        <v>0</v>
      </c>
      <c r="Q3726" t="n">
        <v>0</v>
      </c>
      <c r="R3726" s="2" t="inlineStr"/>
    </row>
    <row r="3727" ht="15" customHeight="1">
      <c r="A3727" t="inlineStr">
        <is>
          <t>A 45755-2021</t>
        </is>
      </c>
      <c r="B3727" s="1" t="n">
        <v>44441</v>
      </c>
      <c r="C3727" s="1" t="n">
        <v>45210</v>
      </c>
      <c r="D3727" t="inlineStr">
        <is>
          <t>DALARNAS LÄN</t>
        </is>
      </c>
      <c r="E3727" t="inlineStr">
        <is>
          <t>BORLÄNGE</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45765-2021</t>
        </is>
      </c>
      <c r="B3728" s="1" t="n">
        <v>44441</v>
      </c>
      <c r="C3728" s="1" t="n">
        <v>45210</v>
      </c>
      <c r="D3728" t="inlineStr">
        <is>
          <t>DALARNAS LÄN</t>
        </is>
      </c>
      <c r="E3728" t="inlineStr">
        <is>
          <t>MORA</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45776-2021</t>
        </is>
      </c>
      <c r="B3729" s="1" t="n">
        <v>44441</v>
      </c>
      <c r="C3729" s="1" t="n">
        <v>45210</v>
      </c>
      <c r="D3729" t="inlineStr">
        <is>
          <t>DALARNAS LÄN</t>
        </is>
      </c>
      <c r="E3729" t="inlineStr">
        <is>
          <t>RÄTTVIK</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45849-2021</t>
        </is>
      </c>
      <c r="B3730" s="1" t="n">
        <v>44441</v>
      </c>
      <c r="C3730" s="1" t="n">
        <v>45210</v>
      </c>
      <c r="D3730" t="inlineStr">
        <is>
          <t>DALARNAS LÄN</t>
        </is>
      </c>
      <c r="E3730" t="inlineStr">
        <is>
          <t>VANSBRO</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45983-2021</t>
        </is>
      </c>
      <c r="B3731" s="1" t="n">
        <v>44441</v>
      </c>
      <c r="C3731" s="1" t="n">
        <v>45210</v>
      </c>
      <c r="D3731" t="inlineStr">
        <is>
          <t>DALARNAS LÄN</t>
        </is>
      </c>
      <c r="E3731" t="inlineStr">
        <is>
          <t>RÄTTVIK</t>
        </is>
      </c>
      <c r="F3731" t="inlineStr">
        <is>
          <t>Sveaskog</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45995-2021</t>
        </is>
      </c>
      <c r="B3732" s="1" t="n">
        <v>44441</v>
      </c>
      <c r="C3732" s="1" t="n">
        <v>45210</v>
      </c>
      <c r="D3732" t="inlineStr">
        <is>
          <t>DALARNAS LÄN</t>
        </is>
      </c>
      <c r="E3732" t="inlineStr">
        <is>
          <t>LUDVIKA</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46130-2021</t>
        </is>
      </c>
      <c r="B3733" s="1" t="n">
        <v>44442</v>
      </c>
      <c r="C3733" s="1" t="n">
        <v>45210</v>
      </c>
      <c r="D3733" t="inlineStr">
        <is>
          <t>DALARNAS LÄN</t>
        </is>
      </c>
      <c r="E3733" t="inlineStr">
        <is>
          <t>SMEDJEBACKEN</t>
        </is>
      </c>
      <c r="F3733" t="inlineStr">
        <is>
          <t>Sveaskog</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46235-2021</t>
        </is>
      </c>
      <c r="B3734" s="1" t="n">
        <v>44442</v>
      </c>
      <c r="C3734" s="1" t="n">
        <v>45210</v>
      </c>
      <c r="D3734" t="inlineStr">
        <is>
          <t>DALARNAS LÄN</t>
        </is>
      </c>
      <c r="E3734" t="inlineStr">
        <is>
          <t>HEDEMORA</t>
        </is>
      </c>
      <c r="G3734" t="n">
        <v>2.5</v>
      </c>
      <c r="H3734" t="n">
        <v>0</v>
      </c>
      <c r="I3734" t="n">
        <v>0</v>
      </c>
      <c r="J3734" t="n">
        <v>0</v>
      </c>
      <c r="K3734" t="n">
        <v>0</v>
      </c>
      <c r="L3734" t="n">
        <v>0</v>
      </c>
      <c r="M3734" t="n">
        <v>0</v>
      </c>
      <c r="N3734" t="n">
        <v>0</v>
      </c>
      <c r="O3734" t="n">
        <v>0</v>
      </c>
      <c r="P3734" t="n">
        <v>0</v>
      </c>
      <c r="Q3734" t="n">
        <v>0</v>
      </c>
      <c r="R3734" s="2" t="inlineStr"/>
    </row>
    <row r="3735" ht="15" customHeight="1">
      <c r="A3735" t="inlineStr">
        <is>
          <t>A 46116-2021</t>
        </is>
      </c>
      <c r="B3735" s="1" t="n">
        <v>44442</v>
      </c>
      <c r="C3735" s="1" t="n">
        <v>45210</v>
      </c>
      <c r="D3735" t="inlineStr">
        <is>
          <t>DALARNAS LÄN</t>
        </is>
      </c>
      <c r="E3735" t="inlineStr">
        <is>
          <t>SMEDJEBACKEN</t>
        </is>
      </c>
      <c r="F3735" t="inlineStr">
        <is>
          <t>Sveaskog</t>
        </is>
      </c>
      <c r="G3735" t="n">
        <v>11.3</v>
      </c>
      <c r="H3735" t="n">
        <v>0</v>
      </c>
      <c r="I3735" t="n">
        <v>0</v>
      </c>
      <c r="J3735" t="n">
        <v>0</v>
      </c>
      <c r="K3735" t="n">
        <v>0</v>
      </c>
      <c r="L3735" t="n">
        <v>0</v>
      </c>
      <c r="M3735" t="n">
        <v>0</v>
      </c>
      <c r="N3735" t="n">
        <v>0</v>
      </c>
      <c r="O3735" t="n">
        <v>0</v>
      </c>
      <c r="P3735" t="n">
        <v>0</v>
      </c>
      <c r="Q3735" t="n">
        <v>0</v>
      </c>
      <c r="R3735" s="2" t="inlineStr"/>
    </row>
    <row r="3736" ht="15" customHeight="1">
      <c r="A3736" t="inlineStr">
        <is>
          <t>A 46165-2021</t>
        </is>
      </c>
      <c r="B3736" s="1" t="n">
        <v>44442</v>
      </c>
      <c r="C3736" s="1" t="n">
        <v>45210</v>
      </c>
      <c r="D3736" t="inlineStr">
        <is>
          <t>DALARNAS LÄN</t>
        </is>
      </c>
      <c r="E3736" t="inlineStr">
        <is>
          <t>VANSBRO</t>
        </is>
      </c>
      <c r="G3736" t="n">
        <v>4.8</v>
      </c>
      <c r="H3736" t="n">
        <v>0</v>
      </c>
      <c r="I3736" t="n">
        <v>0</v>
      </c>
      <c r="J3736" t="n">
        <v>0</v>
      </c>
      <c r="K3736" t="n">
        <v>0</v>
      </c>
      <c r="L3736" t="n">
        <v>0</v>
      </c>
      <c r="M3736" t="n">
        <v>0</v>
      </c>
      <c r="N3736" t="n">
        <v>0</v>
      </c>
      <c r="O3736" t="n">
        <v>0</v>
      </c>
      <c r="P3736" t="n">
        <v>0</v>
      </c>
      <c r="Q3736" t="n">
        <v>0</v>
      </c>
      <c r="R3736" s="2" t="inlineStr"/>
    </row>
    <row r="3737" ht="15" customHeight="1">
      <c r="A3737" t="inlineStr">
        <is>
          <t>A 46221-2021</t>
        </is>
      </c>
      <c r="B3737" s="1" t="n">
        <v>44442</v>
      </c>
      <c r="C3737" s="1" t="n">
        <v>45210</v>
      </c>
      <c r="D3737" t="inlineStr">
        <is>
          <t>DALARNAS LÄN</t>
        </is>
      </c>
      <c r="E3737" t="inlineStr">
        <is>
          <t>AVESTA</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46125-2021</t>
        </is>
      </c>
      <c r="B3738" s="1" t="n">
        <v>44442</v>
      </c>
      <c r="C3738" s="1" t="n">
        <v>45210</v>
      </c>
      <c r="D3738" t="inlineStr">
        <is>
          <t>DALARNAS LÄN</t>
        </is>
      </c>
      <c r="E3738" t="inlineStr">
        <is>
          <t>SMEDJEBACKEN</t>
        </is>
      </c>
      <c r="F3738" t="inlineStr">
        <is>
          <t>Sveaskog</t>
        </is>
      </c>
      <c r="G3738" t="n">
        <v>5.7</v>
      </c>
      <c r="H3738" t="n">
        <v>0</v>
      </c>
      <c r="I3738" t="n">
        <v>0</v>
      </c>
      <c r="J3738" t="n">
        <v>0</v>
      </c>
      <c r="K3738" t="n">
        <v>0</v>
      </c>
      <c r="L3738" t="n">
        <v>0</v>
      </c>
      <c r="M3738" t="n">
        <v>0</v>
      </c>
      <c r="N3738" t="n">
        <v>0</v>
      </c>
      <c r="O3738" t="n">
        <v>0</v>
      </c>
      <c r="P3738" t="n">
        <v>0</v>
      </c>
      <c r="Q3738" t="n">
        <v>0</v>
      </c>
      <c r="R3738" s="2" t="inlineStr"/>
    </row>
    <row r="3739" ht="15" customHeight="1">
      <c r="A3739" t="inlineStr">
        <is>
          <t>A 47386-2021</t>
        </is>
      </c>
      <c r="B3739" s="1" t="n">
        <v>44442</v>
      </c>
      <c r="C3739" s="1" t="n">
        <v>45210</v>
      </c>
      <c r="D3739" t="inlineStr">
        <is>
          <t>DALARNAS LÄN</t>
        </is>
      </c>
      <c r="E3739" t="inlineStr">
        <is>
          <t>MALUNG-SÄLEN</t>
        </is>
      </c>
      <c r="G3739" t="n">
        <v>4.3</v>
      </c>
      <c r="H3739" t="n">
        <v>0</v>
      </c>
      <c r="I3739" t="n">
        <v>0</v>
      </c>
      <c r="J3739" t="n">
        <v>0</v>
      </c>
      <c r="K3739" t="n">
        <v>0</v>
      </c>
      <c r="L3739" t="n">
        <v>0</v>
      </c>
      <c r="M3739" t="n">
        <v>0</v>
      </c>
      <c r="N3739" t="n">
        <v>0</v>
      </c>
      <c r="O3739" t="n">
        <v>0</v>
      </c>
      <c r="P3739" t="n">
        <v>0</v>
      </c>
      <c r="Q3739" t="n">
        <v>0</v>
      </c>
      <c r="R3739" s="2" t="inlineStr"/>
    </row>
    <row r="3740" ht="15" customHeight="1">
      <c r="A3740" t="inlineStr">
        <is>
          <t>A 46132-2021</t>
        </is>
      </c>
      <c r="B3740" s="1" t="n">
        <v>44442</v>
      </c>
      <c r="C3740" s="1" t="n">
        <v>45210</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46409-2021</t>
        </is>
      </c>
      <c r="B3741" s="1" t="n">
        <v>44444</v>
      </c>
      <c r="C3741" s="1" t="n">
        <v>45210</v>
      </c>
      <c r="D3741" t="inlineStr">
        <is>
          <t>DALARNAS LÄN</t>
        </is>
      </c>
      <c r="E3741" t="inlineStr">
        <is>
          <t>VANSBRO</t>
        </is>
      </c>
      <c r="G3741" t="n">
        <v>6.7</v>
      </c>
      <c r="H3741" t="n">
        <v>0</v>
      </c>
      <c r="I3741" t="n">
        <v>0</v>
      </c>
      <c r="J3741" t="n">
        <v>0</v>
      </c>
      <c r="K3741" t="n">
        <v>0</v>
      </c>
      <c r="L3741" t="n">
        <v>0</v>
      </c>
      <c r="M3741" t="n">
        <v>0</v>
      </c>
      <c r="N3741" t="n">
        <v>0</v>
      </c>
      <c r="O3741" t="n">
        <v>0</v>
      </c>
      <c r="P3741" t="n">
        <v>0</v>
      </c>
      <c r="Q3741" t="n">
        <v>0</v>
      </c>
      <c r="R3741" s="2" t="inlineStr"/>
    </row>
    <row r="3742" ht="15" customHeight="1">
      <c r="A3742" t="inlineStr">
        <is>
          <t>A 46559-2021</t>
        </is>
      </c>
      <c r="B3742" s="1" t="n">
        <v>44445</v>
      </c>
      <c r="C3742" s="1" t="n">
        <v>45210</v>
      </c>
      <c r="D3742" t="inlineStr">
        <is>
          <t>DALARNAS LÄN</t>
        </is>
      </c>
      <c r="E3742" t="inlineStr">
        <is>
          <t>SÄTER</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46850-2021</t>
        </is>
      </c>
      <c r="B3743" s="1" t="n">
        <v>44445</v>
      </c>
      <c r="C3743" s="1" t="n">
        <v>45210</v>
      </c>
      <c r="D3743" t="inlineStr">
        <is>
          <t>DALARNAS LÄN</t>
        </is>
      </c>
      <c r="E3743" t="inlineStr">
        <is>
          <t>MALUNG-SÄLEN</t>
        </is>
      </c>
      <c r="F3743" t="inlineStr">
        <is>
          <t>Allmännings- och besparingsskogar</t>
        </is>
      </c>
      <c r="G3743" t="n">
        <v>10.3</v>
      </c>
      <c r="H3743" t="n">
        <v>0</v>
      </c>
      <c r="I3743" t="n">
        <v>0</v>
      </c>
      <c r="J3743" t="n">
        <v>0</v>
      </c>
      <c r="K3743" t="n">
        <v>0</v>
      </c>
      <c r="L3743" t="n">
        <v>0</v>
      </c>
      <c r="M3743" t="n">
        <v>0</v>
      </c>
      <c r="N3743" t="n">
        <v>0</v>
      </c>
      <c r="O3743" t="n">
        <v>0</v>
      </c>
      <c r="P3743" t="n">
        <v>0</v>
      </c>
      <c r="Q3743" t="n">
        <v>0</v>
      </c>
      <c r="R3743" s="2" t="inlineStr"/>
    </row>
    <row r="3744" ht="15" customHeight="1">
      <c r="A3744" t="inlineStr">
        <is>
          <t>A 46845-2021</t>
        </is>
      </c>
      <c r="B3744" s="1" t="n">
        <v>44445</v>
      </c>
      <c r="C3744" s="1" t="n">
        <v>45210</v>
      </c>
      <c r="D3744" t="inlineStr">
        <is>
          <t>DALARNAS LÄN</t>
        </is>
      </c>
      <c r="E3744" t="inlineStr">
        <is>
          <t>MALUNG-SÄLEN</t>
        </is>
      </c>
      <c r="F3744" t="inlineStr">
        <is>
          <t>Allmännings- och besparingsskogar</t>
        </is>
      </c>
      <c r="G3744" t="n">
        <v>15.4</v>
      </c>
      <c r="H3744" t="n">
        <v>0</v>
      </c>
      <c r="I3744" t="n">
        <v>0</v>
      </c>
      <c r="J3744" t="n">
        <v>0</v>
      </c>
      <c r="K3744" t="n">
        <v>0</v>
      </c>
      <c r="L3744" t="n">
        <v>0</v>
      </c>
      <c r="M3744" t="n">
        <v>0</v>
      </c>
      <c r="N3744" t="n">
        <v>0</v>
      </c>
      <c r="O3744" t="n">
        <v>0</v>
      </c>
      <c r="P3744" t="n">
        <v>0</v>
      </c>
      <c r="Q3744" t="n">
        <v>0</v>
      </c>
      <c r="R3744" s="2" t="inlineStr"/>
    </row>
    <row r="3745" ht="15" customHeight="1">
      <c r="A3745" t="inlineStr">
        <is>
          <t>A 46820-2021</t>
        </is>
      </c>
      <c r="B3745" s="1" t="n">
        <v>44445</v>
      </c>
      <c r="C3745" s="1" t="n">
        <v>45210</v>
      </c>
      <c r="D3745" t="inlineStr">
        <is>
          <t>DALARNAS LÄN</t>
        </is>
      </c>
      <c r="E3745" t="inlineStr">
        <is>
          <t>MALUNG-SÄLEN</t>
        </is>
      </c>
      <c r="F3745" t="inlineStr">
        <is>
          <t>Allmännings- och besparingsskogar</t>
        </is>
      </c>
      <c r="G3745" t="n">
        <v>10.6</v>
      </c>
      <c r="H3745" t="n">
        <v>0</v>
      </c>
      <c r="I3745" t="n">
        <v>0</v>
      </c>
      <c r="J3745" t="n">
        <v>0</v>
      </c>
      <c r="K3745" t="n">
        <v>0</v>
      </c>
      <c r="L3745" t="n">
        <v>0</v>
      </c>
      <c r="M3745" t="n">
        <v>0</v>
      </c>
      <c r="N3745" t="n">
        <v>0</v>
      </c>
      <c r="O3745" t="n">
        <v>0</v>
      </c>
      <c r="P3745" t="n">
        <v>0</v>
      </c>
      <c r="Q3745" t="n">
        <v>0</v>
      </c>
      <c r="R3745" s="2" t="inlineStr"/>
    </row>
    <row r="3746" ht="15" customHeight="1">
      <c r="A3746" t="inlineStr">
        <is>
          <t>A 46567-2021</t>
        </is>
      </c>
      <c r="B3746" s="1" t="n">
        <v>44445</v>
      </c>
      <c r="C3746" s="1" t="n">
        <v>45210</v>
      </c>
      <c r="D3746" t="inlineStr">
        <is>
          <t>DALARNAS LÄN</t>
        </is>
      </c>
      <c r="E3746" t="inlineStr">
        <is>
          <t>GAGNEF</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46809-2021</t>
        </is>
      </c>
      <c r="B3747" s="1" t="n">
        <v>44445</v>
      </c>
      <c r="C3747" s="1" t="n">
        <v>45210</v>
      </c>
      <c r="D3747" t="inlineStr">
        <is>
          <t>DALARNAS LÄN</t>
        </is>
      </c>
      <c r="E3747" t="inlineStr">
        <is>
          <t>MALUNG-SÄLEN</t>
        </is>
      </c>
      <c r="F3747" t="inlineStr">
        <is>
          <t>Allmännings- och besparingsskogar</t>
        </is>
      </c>
      <c r="G3747" t="n">
        <v>18.7</v>
      </c>
      <c r="H3747" t="n">
        <v>0</v>
      </c>
      <c r="I3747" t="n">
        <v>0</v>
      </c>
      <c r="J3747" t="n">
        <v>0</v>
      </c>
      <c r="K3747" t="n">
        <v>0</v>
      </c>
      <c r="L3747" t="n">
        <v>0</v>
      </c>
      <c r="M3747" t="n">
        <v>0</v>
      </c>
      <c r="N3747" t="n">
        <v>0</v>
      </c>
      <c r="O3747" t="n">
        <v>0</v>
      </c>
      <c r="P3747" t="n">
        <v>0</v>
      </c>
      <c r="Q3747" t="n">
        <v>0</v>
      </c>
      <c r="R3747" s="2" t="inlineStr"/>
    </row>
    <row r="3748" ht="15" customHeight="1">
      <c r="A3748" t="inlineStr">
        <is>
          <t>A 46823-2021</t>
        </is>
      </c>
      <c r="B3748" s="1" t="n">
        <v>44445</v>
      </c>
      <c r="C3748" s="1" t="n">
        <v>45210</v>
      </c>
      <c r="D3748" t="inlineStr">
        <is>
          <t>DALARNAS LÄN</t>
        </is>
      </c>
      <c r="E3748" t="inlineStr">
        <is>
          <t>MALUNG-SÄLEN</t>
        </is>
      </c>
      <c r="F3748" t="inlineStr">
        <is>
          <t>Allmännings- och besparingsskogar</t>
        </is>
      </c>
      <c r="G3748" t="n">
        <v>26.2</v>
      </c>
      <c r="H3748" t="n">
        <v>0</v>
      </c>
      <c r="I3748" t="n">
        <v>0</v>
      </c>
      <c r="J3748" t="n">
        <v>0</v>
      </c>
      <c r="K3748" t="n">
        <v>0</v>
      </c>
      <c r="L3748" t="n">
        <v>0</v>
      </c>
      <c r="M3748" t="n">
        <v>0</v>
      </c>
      <c r="N3748" t="n">
        <v>0</v>
      </c>
      <c r="O3748" t="n">
        <v>0</v>
      </c>
      <c r="P3748" t="n">
        <v>0</v>
      </c>
      <c r="Q3748" t="n">
        <v>0</v>
      </c>
      <c r="R3748" s="2" t="inlineStr"/>
    </row>
    <row r="3749" ht="15" customHeight="1">
      <c r="A3749" t="inlineStr">
        <is>
          <t>A 47121-2021</t>
        </is>
      </c>
      <c r="B3749" s="1" t="n">
        <v>44446</v>
      </c>
      <c r="C3749" s="1" t="n">
        <v>45210</v>
      </c>
      <c r="D3749" t="inlineStr">
        <is>
          <t>DALARNAS LÄN</t>
        </is>
      </c>
      <c r="E3749" t="inlineStr">
        <is>
          <t>LEKSAND</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47086-2021</t>
        </is>
      </c>
      <c r="B3750" s="1" t="n">
        <v>44446</v>
      </c>
      <c r="C3750" s="1" t="n">
        <v>45210</v>
      </c>
      <c r="D3750" t="inlineStr">
        <is>
          <t>DALARNAS LÄN</t>
        </is>
      </c>
      <c r="E3750" t="inlineStr">
        <is>
          <t>SÄTER</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47477-2021</t>
        </is>
      </c>
      <c r="B3751" s="1" t="n">
        <v>44447</v>
      </c>
      <c r="C3751" s="1" t="n">
        <v>45210</v>
      </c>
      <c r="D3751" t="inlineStr">
        <is>
          <t>DALARNAS LÄN</t>
        </is>
      </c>
      <c r="E3751" t="inlineStr">
        <is>
          <t>MORA</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47216-2021</t>
        </is>
      </c>
      <c r="B3752" s="1" t="n">
        <v>44447</v>
      </c>
      <c r="C3752" s="1" t="n">
        <v>45210</v>
      </c>
      <c r="D3752" t="inlineStr">
        <is>
          <t>DALARNAS LÄN</t>
        </is>
      </c>
      <c r="E3752" t="inlineStr">
        <is>
          <t>LUDVIKA</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47513-2021</t>
        </is>
      </c>
      <c r="B3753" s="1" t="n">
        <v>44447</v>
      </c>
      <c r="C3753" s="1" t="n">
        <v>45210</v>
      </c>
      <c r="D3753" t="inlineStr">
        <is>
          <t>DALARNAS LÄN</t>
        </is>
      </c>
      <c r="E3753" t="inlineStr">
        <is>
          <t>FALUN</t>
        </is>
      </c>
      <c r="F3753" t="inlineStr">
        <is>
          <t>Bergvik skog väst AB</t>
        </is>
      </c>
      <c r="G3753" t="n">
        <v>5.6</v>
      </c>
      <c r="H3753" t="n">
        <v>0</v>
      </c>
      <c r="I3753" t="n">
        <v>0</v>
      </c>
      <c r="J3753" t="n">
        <v>0</v>
      </c>
      <c r="K3753" t="n">
        <v>0</v>
      </c>
      <c r="L3753" t="n">
        <v>0</v>
      </c>
      <c r="M3753" t="n">
        <v>0</v>
      </c>
      <c r="N3753" t="n">
        <v>0</v>
      </c>
      <c r="O3753" t="n">
        <v>0</v>
      </c>
      <c r="P3753" t="n">
        <v>0</v>
      </c>
      <c r="Q3753" t="n">
        <v>0</v>
      </c>
      <c r="R3753" s="2" t="inlineStr"/>
    </row>
    <row r="3754" ht="15" customHeight="1">
      <c r="A3754" t="inlineStr">
        <is>
          <t>A 47854-2021</t>
        </is>
      </c>
      <c r="B3754" s="1" t="n">
        <v>44448</v>
      </c>
      <c r="C3754" s="1" t="n">
        <v>45210</v>
      </c>
      <c r="D3754" t="inlineStr">
        <is>
          <t>DALARNAS LÄN</t>
        </is>
      </c>
      <c r="E3754" t="inlineStr">
        <is>
          <t>SÄTER</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47778-2021</t>
        </is>
      </c>
      <c r="B3755" s="1" t="n">
        <v>44448</v>
      </c>
      <c r="C3755" s="1" t="n">
        <v>45210</v>
      </c>
      <c r="D3755" t="inlineStr">
        <is>
          <t>DALARNAS LÄN</t>
        </is>
      </c>
      <c r="E3755" t="inlineStr">
        <is>
          <t>ORSA</t>
        </is>
      </c>
      <c r="F3755" t="inlineStr">
        <is>
          <t>Bergvik skog öst AB</t>
        </is>
      </c>
      <c r="G3755" t="n">
        <v>0.8</v>
      </c>
      <c r="H3755" t="n">
        <v>0</v>
      </c>
      <c r="I3755" t="n">
        <v>0</v>
      </c>
      <c r="J3755" t="n">
        <v>0</v>
      </c>
      <c r="K3755" t="n">
        <v>0</v>
      </c>
      <c r="L3755" t="n">
        <v>0</v>
      </c>
      <c r="M3755" t="n">
        <v>0</v>
      </c>
      <c r="N3755" t="n">
        <v>0</v>
      </c>
      <c r="O3755" t="n">
        <v>0</v>
      </c>
      <c r="P3755" t="n">
        <v>0</v>
      </c>
      <c r="Q3755" t="n">
        <v>0</v>
      </c>
      <c r="R3755" s="2" t="inlineStr"/>
    </row>
    <row r="3756" ht="15" customHeight="1">
      <c r="A3756" t="inlineStr">
        <is>
          <t>A 48158-2021</t>
        </is>
      </c>
      <c r="B3756" s="1" t="n">
        <v>44449</v>
      </c>
      <c r="C3756" s="1" t="n">
        <v>45210</v>
      </c>
      <c r="D3756" t="inlineStr">
        <is>
          <t>DALARNAS LÄN</t>
        </is>
      </c>
      <c r="E3756" t="inlineStr">
        <is>
          <t>SMEDJEBACKEN</t>
        </is>
      </c>
      <c r="F3756" t="inlineStr">
        <is>
          <t>Bergvik skog väst AB</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48156-2021</t>
        </is>
      </c>
      <c r="B3757" s="1" t="n">
        <v>44449</v>
      </c>
      <c r="C3757" s="1" t="n">
        <v>45210</v>
      </c>
      <c r="D3757" t="inlineStr">
        <is>
          <t>DALARNAS LÄN</t>
        </is>
      </c>
      <c r="E3757" t="inlineStr">
        <is>
          <t>SMEDJEBACKEN</t>
        </is>
      </c>
      <c r="F3757" t="inlineStr">
        <is>
          <t>Bergvik skog väst AB</t>
        </is>
      </c>
      <c r="G3757" t="n">
        <v>11.2</v>
      </c>
      <c r="H3757" t="n">
        <v>0</v>
      </c>
      <c r="I3757" t="n">
        <v>0</v>
      </c>
      <c r="J3757" t="n">
        <v>0</v>
      </c>
      <c r="K3757" t="n">
        <v>0</v>
      </c>
      <c r="L3757" t="n">
        <v>0</v>
      </c>
      <c r="M3757" t="n">
        <v>0</v>
      </c>
      <c r="N3757" t="n">
        <v>0</v>
      </c>
      <c r="O3757" t="n">
        <v>0</v>
      </c>
      <c r="P3757" t="n">
        <v>0</v>
      </c>
      <c r="Q3757" t="n">
        <v>0</v>
      </c>
      <c r="R3757" s="2" t="inlineStr"/>
    </row>
    <row r="3758" ht="15" customHeight="1">
      <c r="A3758" t="inlineStr">
        <is>
          <t>A 48098-2021</t>
        </is>
      </c>
      <c r="B3758" s="1" t="n">
        <v>44449</v>
      </c>
      <c r="C3758" s="1" t="n">
        <v>45210</v>
      </c>
      <c r="D3758" t="inlineStr">
        <is>
          <t>DALARNAS LÄN</t>
        </is>
      </c>
      <c r="E3758" t="inlineStr">
        <is>
          <t>RÄTTVIK</t>
        </is>
      </c>
      <c r="F3758" t="inlineStr">
        <is>
          <t>Sveaskog</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48000-2021</t>
        </is>
      </c>
      <c r="B3759" s="1" t="n">
        <v>44449</v>
      </c>
      <c r="C3759" s="1" t="n">
        <v>45210</v>
      </c>
      <c r="D3759" t="inlineStr">
        <is>
          <t>DALARNAS LÄN</t>
        </is>
      </c>
      <c r="E3759" t="inlineStr">
        <is>
          <t>MORA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48383-2021</t>
        </is>
      </c>
      <c r="B3760" s="1" t="n">
        <v>44451</v>
      </c>
      <c r="C3760" s="1" t="n">
        <v>45210</v>
      </c>
      <c r="D3760" t="inlineStr">
        <is>
          <t>DALARNAS LÄN</t>
        </is>
      </c>
      <c r="E3760" t="inlineStr">
        <is>
          <t>RÄTTVIK</t>
        </is>
      </c>
      <c r="F3760" t="inlineStr">
        <is>
          <t>Sveaskog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48524-2021</t>
        </is>
      </c>
      <c r="B3761" s="1" t="n">
        <v>44452</v>
      </c>
      <c r="C3761" s="1" t="n">
        <v>45210</v>
      </c>
      <c r="D3761" t="inlineStr">
        <is>
          <t>DALARNAS LÄN</t>
        </is>
      </c>
      <c r="E3761" t="inlineStr">
        <is>
          <t>BORLÄNGE</t>
        </is>
      </c>
      <c r="G3761" t="n">
        <v>3.7</v>
      </c>
      <c r="H3761" t="n">
        <v>0</v>
      </c>
      <c r="I3761" t="n">
        <v>0</v>
      </c>
      <c r="J3761" t="n">
        <v>0</v>
      </c>
      <c r="K3761" t="n">
        <v>0</v>
      </c>
      <c r="L3761" t="n">
        <v>0</v>
      </c>
      <c r="M3761" t="n">
        <v>0</v>
      </c>
      <c r="N3761" t="n">
        <v>0</v>
      </c>
      <c r="O3761" t="n">
        <v>0</v>
      </c>
      <c r="P3761" t="n">
        <v>0</v>
      </c>
      <c r="Q3761" t="n">
        <v>0</v>
      </c>
      <c r="R3761" s="2" t="inlineStr"/>
    </row>
    <row r="3762" ht="15" customHeight="1">
      <c r="A3762" t="inlineStr">
        <is>
          <t>A 48450-2021</t>
        </is>
      </c>
      <c r="B3762" s="1" t="n">
        <v>44452</v>
      </c>
      <c r="C3762" s="1" t="n">
        <v>45210</v>
      </c>
      <c r="D3762" t="inlineStr">
        <is>
          <t>DALARNAS LÄN</t>
        </is>
      </c>
      <c r="E3762" t="inlineStr">
        <is>
          <t>BORLÄNGE</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48493-2021</t>
        </is>
      </c>
      <c r="B3763" s="1" t="n">
        <v>44452</v>
      </c>
      <c r="C3763" s="1" t="n">
        <v>45210</v>
      </c>
      <c r="D3763" t="inlineStr">
        <is>
          <t>DALARNAS LÄN</t>
        </is>
      </c>
      <c r="E3763" t="inlineStr">
        <is>
          <t>BORLÄNGE</t>
        </is>
      </c>
      <c r="G3763" t="n">
        <v>10.3</v>
      </c>
      <c r="H3763" t="n">
        <v>0</v>
      </c>
      <c r="I3763" t="n">
        <v>0</v>
      </c>
      <c r="J3763" t="n">
        <v>0</v>
      </c>
      <c r="K3763" t="n">
        <v>0</v>
      </c>
      <c r="L3763" t="n">
        <v>0</v>
      </c>
      <c r="M3763" t="n">
        <v>0</v>
      </c>
      <c r="N3763" t="n">
        <v>0</v>
      </c>
      <c r="O3763" t="n">
        <v>0</v>
      </c>
      <c r="P3763" t="n">
        <v>0</v>
      </c>
      <c r="Q3763" t="n">
        <v>0</v>
      </c>
      <c r="R3763" s="2" t="inlineStr"/>
    </row>
    <row r="3764" ht="15" customHeight="1">
      <c r="A3764" t="inlineStr">
        <is>
          <t>A 48623-2021</t>
        </is>
      </c>
      <c r="B3764" s="1" t="n">
        <v>44452</v>
      </c>
      <c r="C3764" s="1" t="n">
        <v>45210</v>
      </c>
      <c r="D3764" t="inlineStr">
        <is>
          <t>DALARNAS LÄN</t>
        </is>
      </c>
      <c r="E3764" t="inlineStr">
        <is>
          <t>GAGNEF</t>
        </is>
      </c>
      <c r="G3764" t="n">
        <v>6.5</v>
      </c>
      <c r="H3764" t="n">
        <v>0</v>
      </c>
      <c r="I3764" t="n">
        <v>0</v>
      </c>
      <c r="J3764" t="n">
        <v>0</v>
      </c>
      <c r="K3764" t="n">
        <v>0</v>
      </c>
      <c r="L3764" t="n">
        <v>0</v>
      </c>
      <c r="M3764" t="n">
        <v>0</v>
      </c>
      <c r="N3764" t="n">
        <v>0</v>
      </c>
      <c r="O3764" t="n">
        <v>0</v>
      </c>
      <c r="P3764" t="n">
        <v>0</v>
      </c>
      <c r="Q3764" t="n">
        <v>0</v>
      </c>
      <c r="R3764" s="2" t="inlineStr"/>
    </row>
    <row r="3765" ht="15" customHeight="1">
      <c r="A3765" t="inlineStr">
        <is>
          <t>A 48511-2021</t>
        </is>
      </c>
      <c r="B3765" s="1" t="n">
        <v>44452</v>
      </c>
      <c r="C3765" s="1" t="n">
        <v>45210</v>
      </c>
      <c r="D3765" t="inlineStr">
        <is>
          <t>DALARNAS LÄN</t>
        </is>
      </c>
      <c r="E3765" t="inlineStr">
        <is>
          <t>BORLÄNGE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48580-2021</t>
        </is>
      </c>
      <c r="B3766" s="1" t="n">
        <v>44452</v>
      </c>
      <c r="C3766" s="1" t="n">
        <v>45210</v>
      </c>
      <c r="D3766" t="inlineStr">
        <is>
          <t>DALARNAS LÄN</t>
        </is>
      </c>
      <c r="E3766" t="inlineStr">
        <is>
          <t>LUDVIKA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48558-2021</t>
        </is>
      </c>
      <c r="B3767" s="1" t="n">
        <v>44452</v>
      </c>
      <c r="C3767" s="1" t="n">
        <v>45210</v>
      </c>
      <c r="D3767" t="inlineStr">
        <is>
          <t>DALARNAS LÄN</t>
        </is>
      </c>
      <c r="E3767" t="inlineStr">
        <is>
          <t>ÄLVDALEN</t>
        </is>
      </c>
      <c r="F3767" t="inlineStr">
        <is>
          <t>Sveaskog</t>
        </is>
      </c>
      <c r="G3767" t="n">
        <v>0.1</v>
      </c>
      <c r="H3767" t="n">
        <v>0</v>
      </c>
      <c r="I3767" t="n">
        <v>0</v>
      </c>
      <c r="J3767" t="n">
        <v>0</v>
      </c>
      <c r="K3767" t="n">
        <v>0</v>
      </c>
      <c r="L3767" t="n">
        <v>0</v>
      </c>
      <c r="M3767" t="n">
        <v>0</v>
      </c>
      <c r="N3767" t="n">
        <v>0</v>
      </c>
      <c r="O3767" t="n">
        <v>0</v>
      </c>
      <c r="P3767" t="n">
        <v>0</v>
      </c>
      <c r="Q3767" t="n">
        <v>0</v>
      </c>
      <c r="R3767" s="2" t="inlineStr"/>
    </row>
    <row r="3768" ht="15" customHeight="1">
      <c r="A3768" t="inlineStr">
        <is>
          <t>A 48949-2021</t>
        </is>
      </c>
      <c r="B3768" s="1" t="n">
        <v>44453</v>
      </c>
      <c r="C3768" s="1" t="n">
        <v>45210</v>
      </c>
      <c r="D3768" t="inlineStr">
        <is>
          <t>DALARNAS LÄN</t>
        </is>
      </c>
      <c r="E3768" t="inlineStr">
        <is>
          <t>LEKSAND</t>
        </is>
      </c>
      <c r="G3768" t="n">
        <v>3</v>
      </c>
      <c r="H3768" t="n">
        <v>0</v>
      </c>
      <c r="I3768" t="n">
        <v>0</v>
      </c>
      <c r="J3768" t="n">
        <v>0</v>
      </c>
      <c r="K3768" t="n">
        <v>0</v>
      </c>
      <c r="L3768" t="n">
        <v>0</v>
      </c>
      <c r="M3768" t="n">
        <v>0</v>
      </c>
      <c r="N3768" t="n">
        <v>0</v>
      </c>
      <c r="O3768" t="n">
        <v>0</v>
      </c>
      <c r="P3768" t="n">
        <v>0</v>
      </c>
      <c r="Q3768" t="n">
        <v>0</v>
      </c>
      <c r="R3768" s="2" t="inlineStr"/>
    </row>
    <row r="3769" ht="15" customHeight="1">
      <c r="A3769" t="inlineStr">
        <is>
          <t>A 49028-2021</t>
        </is>
      </c>
      <c r="B3769" s="1" t="n">
        <v>44453</v>
      </c>
      <c r="C3769" s="1" t="n">
        <v>45210</v>
      </c>
      <c r="D3769" t="inlineStr">
        <is>
          <t>DALARNAS LÄN</t>
        </is>
      </c>
      <c r="E3769" t="inlineStr">
        <is>
          <t>ORSA</t>
        </is>
      </c>
      <c r="G3769" t="n">
        <v>2.6</v>
      </c>
      <c r="H3769" t="n">
        <v>0</v>
      </c>
      <c r="I3769" t="n">
        <v>0</v>
      </c>
      <c r="J3769" t="n">
        <v>0</v>
      </c>
      <c r="K3769" t="n">
        <v>0</v>
      </c>
      <c r="L3769" t="n">
        <v>0</v>
      </c>
      <c r="M3769" t="n">
        <v>0</v>
      </c>
      <c r="N3769" t="n">
        <v>0</v>
      </c>
      <c r="O3769" t="n">
        <v>0</v>
      </c>
      <c r="P3769" t="n">
        <v>0</v>
      </c>
      <c r="Q3769" t="n">
        <v>0</v>
      </c>
      <c r="R3769" s="2" t="inlineStr"/>
    </row>
    <row r="3770" ht="15" customHeight="1">
      <c r="A3770" t="inlineStr">
        <is>
          <t>A 49097-2021</t>
        </is>
      </c>
      <c r="B3770" s="1" t="n">
        <v>44453</v>
      </c>
      <c r="C3770" s="1" t="n">
        <v>45210</v>
      </c>
      <c r="D3770" t="inlineStr">
        <is>
          <t>DALARNAS LÄN</t>
        </is>
      </c>
      <c r="E3770" t="inlineStr">
        <is>
          <t>SMEDJEBACKEN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49392-2021</t>
        </is>
      </c>
      <c r="B3771" s="1" t="n">
        <v>44454</v>
      </c>
      <c r="C3771" s="1" t="n">
        <v>45210</v>
      </c>
      <c r="D3771" t="inlineStr">
        <is>
          <t>DALARNAS LÄN</t>
        </is>
      </c>
      <c r="E3771" t="inlineStr">
        <is>
          <t>AVESTA</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49737-2021</t>
        </is>
      </c>
      <c r="B3772" s="1" t="n">
        <v>44454</v>
      </c>
      <c r="C3772" s="1" t="n">
        <v>45210</v>
      </c>
      <c r="D3772" t="inlineStr">
        <is>
          <t>DALARNAS LÄN</t>
        </is>
      </c>
      <c r="E3772" t="inlineStr">
        <is>
          <t>BORLÄNGE</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49232-2021</t>
        </is>
      </c>
      <c r="B3773" s="1" t="n">
        <v>44454</v>
      </c>
      <c r="C3773" s="1" t="n">
        <v>45210</v>
      </c>
      <c r="D3773" t="inlineStr">
        <is>
          <t>DALARNAS LÄN</t>
        </is>
      </c>
      <c r="E3773" t="inlineStr">
        <is>
          <t>RÄTTVIK</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49572-2021</t>
        </is>
      </c>
      <c r="B3774" s="1" t="n">
        <v>44455</v>
      </c>
      <c r="C3774" s="1" t="n">
        <v>45210</v>
      </c>
      <c r="D3774" t="inlineStr">
        <is>
          <t>DALARNAS LÄN</t>
        </is>
      </c>
      <c r="E3774" t="inlineStr">
        <is>
          <t>MORA</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49756-2021</t>
        </is>
      </c>
      <c r="B3775" s="1" t="n">
        <v>44455</v>
      </c>
      <c r="C3775" s="1" t="n">
        <v>45210</v>
      </c>
      <c r="D3775" t="inlineStr">
        <is>
          <t>DALARNAS LÄN</t>
        </is>
      </c>
      <c r="E3775" t="inlineStr">
        <is>
          <t>SÄTER</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49578-2021</t>
        </is>
      </c>
      <c r="B3776" s="1" t="n">
        <v>44455</v>
      </c>
      <c r="C3776" s="1" t="n">
        <v>45210</v>
      </c>
      <c r="D3776" t="inlineStr">
        <is>
          <t>DALARNAS LÄN</t>
        </is>
      </c>
      <c r="E3776" t="inlineStr">
        <is>
          <t>MORA</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49798-2021</t>
        </is>
      </c>
      <c r="B3777" s="1" t="n">
        <v>44455</v>
      </c>
      <c r="C3777" s="1" t="n">
        <v>45210</v>
      </c>
      <c r="D3777" t="inlineStr">
        <is>
          <t>DALARNAS LÄN</t>
        </is>
      </c>
      <c r="E3777" t="inlineStr">
        <is>
          <t>MALUNG-SÄLEN</t>
        </is>
      </c>
      <c r="G3777" t="n">
        <v>6</v>
      </c>
      <c r="H3777" t="n">
        <v>0</v>
      </c>
      <c r="I3777" t="n">
        <v>0</v>
      </c>
      <c r="J3777" t="n">
        <v>0</v>
      </c>
      <c r="K3777" t="n">
        <v>0</v>
      </c>
      <c r="L3777" t="n">
        <v>0</v>
      </c>
      <c r="M3777" t="n">
        <v>0</v>
      </c>
      <c r="N3777" t="n">
        <v>0</v>
      </c>
      <c r="O3777" t="n">
        <v>0</v>
      </c>
      <c r="P3777" t="n">
        <v>0</v>
      </c>
      <c r="Q3777" t="n">
        <v>0</v>
      </c>
      <c r="R3777" s="2" t="inlineStr"/>
    </row>
    <row r="3778" ht="15" customHeight="1">
      <c r="A3778" t="inlineStr">
        <is>
          <t>A 49583-2021</t>
        </is>
      </c>
      <c r="B3778" s="1" t="n">
        <v>44455</v>
      </c>
      <c r="C3778" s="1" t="n">
        <v>45210</v>
      </c>
      <c r="D3778" t="inlineStr">
        <is>
          <t>DALARNAS LÄN</t>
        </is>
      </c>
      <c r="E3778" t="inlineStr">
        <is>
          <t>MORA</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49636-2021</t>
        </is>
      </c>
      <c r="B3779" s="1" t="n">
        <v>44455</v>
      </c>
      <c r="C3779" s="1" t="n">
        <v>45210</v>
      </c>
      <c r="D3779" t="inlineStr">
        <is>
          <t>DALARNAS LÄN</t>
        </is>
      </c>
      <c r="E3779" t="inlineStr">
        <is>
          <t>HEDEMORA</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49828-2021</t>
        </is>
      </c>
      <c r="B3780" s="1" t="n">
        <v>44455</v>
      </c>
      <c r="C3780" s="1" t="n">
        <v>45210</v>
      </c>
      <c r="D3780" t="inlineStr">
        <is>
          <t>DALARNAS LÄN</t>
        </is>
      </c>
      <c r="E3780" t="inlineStr">
        <is>
          <t>SMEDJEBACKEN</t>
        </is>
      </c>
      <c r="F3780" t="inlineStr">
        <is>
          <t>Sveaskog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50443-2021</t>
        </is>
      </c>
      <c r="B3781" s="1" t="n">
        <v>44456</v>
      </c>
      <c r="C3781" s="1" t="n">
        <v>45210</v>
      </c>
      <c r="D3781" t="inlineStr">
        <is>
          <t>DALARNAS LÄN</t>
        </is>
      </c>
      <c r="E3781" t="inlineStr">
        <is>
          <t>SÄTER</t>
        </is>
      </c>
      <c r="F3781" t="inlineStr">
        <is>
          <t>Bergvik skog väst AB</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49977-2021</t>
        </is>
      </c>
      <c r="B3782" s="1" t="n">
        <v>44456</v>
      </c>
      <c r="C3782" s="1" t="n">
        <v>45210</v>
      </c>
      <c r="D3782" t="inlineStr">
        <is>
          <t>DALARNAS LÄN</t>
        </is>
      </c>
      <c r="E3782" t="inlineStr">
        <is>
          <t>LUDVIKA</t>
        </is>
      </c>
      <c r="F3782" t="inlineStr">
        <is>
          <t>Bergvik skog väst AB</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50158-2021</t>
        </is>
      </c>
      <c r="B3783" s="1" t="n">
        <v>44456</v>
      </c>
      <c r="C3783" s="1" t="n">
        <v>45210</v>
      </c>
      <c r="D3783" t="inlineStr">
        <is>
          <t>DALARNAS LÄN</t>
        </is>
      </c>
      <c r="E3783" t="inlineStr">
        <is>
          <t>ÄLVDALEN</t>
        </is>
      </c>
      <c r="F3783" t="inlineStr">
        <is>
          <t>Övriga statliga verk och myndigheter</t>
        </is>
      </c>
      <c r="G3783" t="n">
        <v>6.3</v>
      </c>
      <c r="H3783" t="n">
        <v>0</v>
      </c>
      <c r="I3783" t="n">
        <v>0</v>
      </c>
      <c r="J3783" t="n">
        <v>0</v>
      </c>
      <c r="K3783" t="n">
        <v>0</v>
      </c>
      <c r="L3783" t="n">
        <v>0</v>
      </c>
      <c r="M3783" t="n">
        <v>0</v>
      </c>
      <c r="N3783" t="n">
        <v>0</v>
      </c>
      <c r="O3783" t="n">
        <v>0</v>
      </c>
      <c r="P3783" t="n">
        <v>0</v>
      </c>
      <c r="Q3783" t="n">
        <v>0</v>
      </c>
      <c r="R3783" s="2" t="inlineStr"/>
    </row>
    <row r="3784" ht="15" customHeight="1">
      <c r="A3784" t="inlineStr">
        <is>
          <t>A 50441-2021</t>
        </is>
      </c>
      <c r="B3784" s="1" t="n">
        <v>44456</v>
      </c>
      <c r="C3784" s="1" t="n">
        <v>45210</v>
      </c>
      <c r="D3784" t="inlineStr">
        <is>
          <t>DALARNAS LÄN</t>
        </is>
      </c>
      <c r="E3784" t="inlineStr">
        <is>
          <t>HEDEMORA</t>
        </is>
      </c>
      <c r="F3784" t="inlineStr">
        <is>
          <t>Bergvik skog väst AB</t>
        </is>
      </c>
      <c r="G3784" t="n">
        <v>6.4</v>
      </c>
      <c r="H3784" t="n">
        <v>0</v>
      </c>
      <c r="I3784" t="n">
        <v>0</v>
      </c>
      <c r="J3784" t="n">
        <v>0</v>
      </c>
      <c r="K3784" t="n">
        <v>0</v>
      </c>
      <c r="L3784" t="n">
        <v>0</v>
      </c>
      <c r="M3784" t="n">
        <v>0</v>
      </c>
      <c r="N3784" t="n">
        <v>0</v>
      </c>
      <c r="O3784" t="n">
        <v>0</v>
      </c>
      <c r="P3784" t="n">
        <v>0</v>
      </c>
      <c r="Q3784" t="n">
        <v>0</v>
      </c>
      <c r="R3784" s="2" t="inlineStr"/>
    </row>
    <row r="3785" ht="15" customHeight="1">
      <c r="A3785" t="inlineStr">
        <is>
          <t>A 50341-2021</t>
        </is>
      </c>
      <c r="B3785" s="1" t="n">
        <v>44459</v>
      </c>
      <c r="C3785" s="1" t="n">
        <v>45210</v>
      </c>
      <c r="D3785" t="inlineStr">
        <is>
          <t>DALARNAS LÄN</t>
        </is>
      </c>
      <c r="E3785" t="inlineStr">
        <is>
          <t>ÄLVDALEN</t>
        </is>
      </c>
      <c r="F3785" t="inlineStr">
        <is>
          <t>Sveaskog</t>
        </is>
      </c>
      <c r="G3785" t="n">
        <v>4.6</v>
      </c>
      <c r="H3785" t="n">
        <v>0</v>
      </c>
      <c r="I3785" t="n">
        <v>0</v>
      </c>
      <c r="J3785" t="n">
        <v>0</v>
      </c>
      <c r="K3785" t="n">
        <v>0</v>
      </c>
      <c r="L3785" t="n">
        <v>0</v>
      </c>
      <c r="M3785" t="n">
        <v>0</v>
      </c>
      <c r="N3785" t="n">
        <v>0</v>
      </c>
      <c r="O3785" t="n">
        <v>0</v>
      </c>
      <c r="P3785" t="n">
        <v>0</v>
      </c>
      <c r="Q3785" t="n">
        <v>0</v>
      </c>
      <c r="R3785" s="2" t="inlineStr"/>
    </row>
    <row r="3786" ht="15" customHeight="1">
      <c r="A3786" t="inlineStr">
        <is>
          <t>A 50518-2021</t>
        </is>
      </c>
      <c r="B3786" s="1" t="n">
        <v>44459</v>
      </c>
      <c r="C3786" s="1" t="n">
        <v>45210</v>
      </c>
      <c r="D3786" t="inlineStr">
        <is>
          <t>DALARNAS LÄN</t>
        </is>
      </c>
      <c r="E3786" t="inlineStr">
        <is>
          <t>FALUN</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50565-2021</t>
        </is>
      </c>
      <c r="B3787" s="1" t="n">
        <v>44459</v>
      </c>
      <c r="C3787" s="1" t="n">
        <v>45210</v>
      </c>
      <c r="D3787" t="inlineStr">
        <is>
          <t>DALARNAS LÄN</t>
        </is>
      </c>
      <c r="E3787" t="inlineStr">
        <is>
          <t>RÄTTVIK</t>
        </is>
      </c>
      <c r="F3787" t="inlineStr">
        <is>
          <t>Sveaskog</t>
        </is>
      </c>
      <c r="G3787" t="n">
        <v>0.6</v>
      </c>
      <c r="H3787" t="n">
        <v>0</v>
      </c>
      <c r="I3787" t="n">
        <v>0</v>
      </c>
      <c r="J3787" t="n">
        <v>0</v>
      </c>
      <c r="K3787" t="n">
        <v>0</v>
      </c>
      <c r="L3787" t="n">
        <v>0</v>
      </c>
      <c r="M3787" t="n">
        <v>0</v>
      </c>
      <c r="N3787" t="n">
        <v>0</v>
      </c>
      <c r="O3787" t="n">
        <v>0</v>
      </c>
      <c r="P3787" t="n">
        <v>0</v>
      </c>
      <c r="Q3787" t="n">
        <v>0</v>
      </c>
      <c r="R3787" s="2" t="inlineStr"/>
    </row>
    <row r="3788" ht="15" customHeight="1">
      <c r="A3788" t="inlineStr">
        <is>
          <t>A 50349-2021</t>
        </is>
      </c>
      <c r="B3788" s="1" t="n">
        <v>44459</v>
      </c>
      <c r="C3788" s="1" t="n">
        <v>45210</v>
      </c>
      <c r="D3788" t="inlineStr">
        <is>
          <t>DALARNAS LÄN</t>
        </is>
      </c>
      <c r="E3788" t="inlineStr">
        <is>
          <t>ÄLVDALEN</t>
        </is>
      </c>
      <c r="F3788" t="inlineStr">
        <is>
          <t>Sveaskog</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50347-2021</t>
        </is>
      </c>
      <c r="B3789" s="1" t="n">
        <v>44459</v>
      </c>
      <c r="C3789" s="1" t="n">
        <v>45210</v>
      </c>
      <c r="D3789" t="inlineStr">
        <is>
          <t>DALARNAS LÄN</t>
        </is>
      </c>
      <c r="E3789" t="inlineStr">
        <is>
          <t>LUDVIKA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50594-2021</t>
        </is>
      </c>
      <c r="B3790" s="1" t="n">
        <v>44459</v>
      </c>
      <c r="C3790" s="1" t="n">
        <v>45210</v>
      </c>
      <c r="D3790" t="inlineStr">
        <is>
          <t>DALARNAS LÄN</t>
        </is>
      </c>
      <c r="E3790" t="inlineStr">
        <is>
          <t>RÄTTVIK</t>
        </is>
      </c>
      <c r="F3790" t="inlineStr">
        <is>
          <t>Sveaskog</t>
        </is>
      </c>
      <c r="G3790" t="n">
        <v>4.4</v>
      </c>
      <c r="H3790" t="n">
        <v>0</v>
      </c>
      <c r="I3790" t="n">
        <v>0</v>
      </c>
      <c r="J3790" t="n">
        <v>0</v>
      </c>
      <c r="K3790" t="n">
        <v>0</v>
      </c>
      <c r="L3790" t="n">
        <v>0</v>
      </c>
      <c r="M3790" t="n">
        <v>0</v>
      </c>
      <c r="N3790" t="n">
        <v>0</v>
      </c>
      <c r="O3790" t="n">
        <v>0</v>
      </c>
      <c r="P3790" t="n">
        <v>0</v>
      </c>
      <c r="Q3790" t="n">
        <v>0</v>
      </c>
      <c r="R3790" s="2" t="inlineStr"/>
    </row>
    <row r="3791" ht="15" customHeight="1">
      <c r="A3791" t="inlineStr">
        <is>
          <t>A 50708-2021</t>
        </is>
      </c>
      <c r="B3791" s="1" t="n">
        <v>44459</v>
      </c>
      <c r="C3791" s="1" t="n">
        <v>45210</v>
      </c>
      <c r="D3791" t="inlineStr">
        <is>
          <t>DALARNAS LÄN</t>
        </is>
      </c>
      <c r="E3791" t="inlineStr">
        <is>
          <t>ÄLVDALEN</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50806-2021</t>
        </is>
      </c>
      <c r="B3792" s="1" t="n">
        <v>44459</v>
      </c>
      <c r="C3792" s="1" t="n">
        <v>45210</v>
      </c>
      <c r="D3792" t="inlineStr">
        <is>
          <t>DALARNAS LÄN</t>
        </is>
      </c>
      <c r="E3792" t="inlineStr">
        <is>
          <t>AVESTA</t>
        </is>
      </c>
      <c r="G3792" t="n">
        <v>6.5</v>
      </c>
      <c r="H3792" t="n">
        <v>0</v>
      </c>
      <c r="I3792" t="n">
        <v>0</v>
      </c>
      <c r="J3792" t="n">
        <v>0</v>
      </c>
      <c r="K3792" t="n">
        <v>0</v>
      </c>
      <c r="L3792" t="n">
        <v>0</v>
      </c>
      <c r="M3792" t="n">
        <v>0</v>
      </c>
      <c r="N3792" t="n">
        <v>0</v>
      </c>
      <c r="O3792" t="n">
        <v>0</v>
      </c>
      <c r="P3792" t="n">
        <v>0</v>
      </c>
      <c r="Q3792" t="n">
        <v>0</v>
      </c>
      <c r="R3792" s="2" t="inlineStr"/>
    </row>
    <row r="3793" ht="15" customHeight="1">
      <c r="A3793" t="inlineStr">
        <is>
          <t>A 50599-2021</t>
        </is>
      </c>
      <c r="B3793" s="1" t="n">
        <v>44459</v>
      </c>
      <c r="C3793" s="1" t="n">
        <v>45210</v>
      </c>
      <c r="D3793" t="inlineStr">
        <is>
          <t>DALARNAS LÄN</t>
        </is>
      </c>
      <c r="E3793" t="inlineStr">
        <is>
          <t>RÄTTVIK</t>
        </is>
      </c>
      <c r="F3793" t="inlineStr">
        <is>
          <t>Sveaskog</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50610-2021</t>
        </is>
      </c>
      <c r="B3794" s="1" t="n">
        <v>44459</v>
      </c>
      <c r="C3794" s="1" t="n">
        <v>45210</v>
      </c>
      <c r="D3794" t="inlineStr">
        <is>
          <t>DALARNAS LÄN</t>
        </is>
      </c>
      <c r="E3794" t="inlineStr">
        <is>
          <t>RÄTTVIK</t>
        </is>
      </c>
      <c r="F3794" t="inlineStr">
        <is>
          <t>Sveaskog</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50905-2021</t>
        </is>
      </c>
      <c r="B3795" s="1" t="n">
        <v>44460</v>
      </c>
      <c r="C3795" s="1" t="n">
        <v>45210</v>
      </c>
      <c r="D3795" t="inlineStr">
        <is>
          <t>DALARNAS LÄN</t>
        </is>
      </c>
      <c r="E3795" t="inlineStr">
        <is>
          <t>ORSA</t>
        </is>
      </c>
      <c r="G3795" t="n">
        <v>2.1</v>
      </c>
      <c r="H3795" t="n">
        <v>0</v>
      </c>
      <c r="I3795" t="n">
        <v>0</v>
      </c>
      <c r="J3795" t="n">
        <v>0</v>
      </c>
      <c r="K3795" t="n">
        <v>0</v>
      </c>
      <c r="L3795" t="n">
        <v>0</v>
      </c>
      <c r="M3795" t="n">
        <v>0</v>
      </c>
      <c r="N3795" t="n">
        <v>0</v>
      </c>
      <c r="O3795" t="n">
        <v>0</v>
      </c>
      <c r="P3795" t="n">
        <v>0</v>
      </c>
      <c r="Q3795" t="n">
        <v>0</v>
      </c>
      <c r="R3795" s="2" t="inlineStr"/>
    </row>
    <row r="3796" ht="15" customHeight="1">
      <c r="A3796" t="inlineStr">
        <is>
          <t>A 50881-2021</t>
        </is>
      </c>
      <c r="B3796" s="1" t="n">
        <v>44460</v>
      </c>
      <c r="C3796" s="1" t="n">
        <v>45210</v>
      </c>
      <c r="D3796" t="inlineStr">
        <is>
          <t>DALARNAS LÄN</t>
        </is>
      </c>
      <c r="E3796" t="inlineStr">
        <is>
          <t>MALUNG-SÄLEN</t>
        </is>
      </c>
      <c r="F3796" t="inlineStr">
        <is>
          <t>Bergvik skog öst AB</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50886-2021</t>
        </is>
      </c>
      <c r="B3797" s="1" t="n">
        <v>44460</v>
      </c>
      <c r="C3797" s="1" t="n">
        <v>45210</v>
      </c>
      <c r="D3797" t="inlineStr">
        <is>
          <t>DALARNAS LÄN</t>
        </is>
      </c>
      <c r="E3797" t="inlineStr">
        <is>
          <t>AVESTA</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51422-2021</t>
        </is>
      </c>
      <c r="B3798" s="1" t="n">
        <v>44461</v>
      </c>
      <c r="C3798" s="1" t="n">
        <v>45210</v>
      </c>
      <c r="D3798" t="inlineStr">
        <is>
          <t>DALARNAS LÄN</t>
        </is>
      </c>
      <c r="E3798" t="inlineStr">
        <is>
          <t>SMEDJEBACKEN</t>
        </is>
      </c>
      <c r="G3798" t="n">
        <v>4.3</v>
      </c>
      <c r="H3798" t="n">
        <v>0</v>
      </c>
      <c r="I3798" t="n">
        <v>0</v>
      </c>
      <c r="J3798" t="n">
        <v>0</v>
      </c>
      <c r="K3798" t="n">
        <v>0</v>
      </c>
      <c r="L3798" t="n">
        <v>0</v>
      </c>
      <c r="M3798" t="n">
        <v>0</v>
      </c>
      <c r="N3798" t="n">
        <v>0</v>
      </c>
      <c r="O3798" t="n">
        <v>0</v>
      </c>
      <c r="P3798" t="n">
        <v>0</v>
      </c>
      <c r="Q3798" t="n">
        <v>0</v>
      </c>
      <c r="R3798" s="2" t="inlineStr"/>
    </row>
    <row r="3799" ht="15" customHeight="1">
      <c r="A3799" t="inlineStr">
        <is>
          <t>A 51308-2021</t>
        </is>
      </c>
      <c r="B3799" s="1" t="n">
        <v>44461</v>
      </c>
      <c r="C3799" s="1" t="n">
        <v>45210</v>
      </c>
      <c r="D3799" t="inlineStr">
        <is>
          <t>DALARNAS LÄN</t>
        </is>
      </c>
      <c r="E3799" t="inlineStr">
        <is>
          <t>BORLÄNGE</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51041-2021</t>
        </is>
      </c>
      <c r="B3800" s="1" t="n">
        <v>44461</v>
      </c>
      <c r="C3800" s="1" t="n">
        <v>45210</v>
      </c>
      <c r="D3800" t="inlineStr">
        <is>
          <t>DALARNAS LÄN</t>
        </is>
      </c>
      <c r="E3800" t="inlineStr">
        <is>
          <t>RÄTTVIK</t>
        </is>
      </c>
      <c r="G3800" t="n">
        <v>3.7</v>
      </c>
      <c r="H3800" t="n">
        <v>0</v>
      </c>
      <c r="I3800" t="n">
        <v>0</v>
      </c>
      <c r="J3800" t="n">
        <v>0</v>
      </c>
      <c r="K3800" t="n">
        <v>0</v>
      </c>
      <c r="L3800" t="n">
        <v>0</v>
      </c>
      <c r="M3800" t="n">
        <v>0</v>
      </c>
      <c r="N3800" t="n">
        <v>0</v>
      </c>
      <c r="O3800" t="n">
        <v>0</v>
      </c>
      <c r="P3800" t="n">
        <v>0</v>
      </c>
      <c r="Q3800" t="n">
        <v>0</v>
      </c>
      <c r="R3800" s="2" t="inlineStr"/>
    </row>
    <row r="3801" ht="15" customHeight="1">
      <c r="A3801" t="inlineStr">
        <is>
          <t>A 51278-2021</t>
        </is>
      </c>
      <c r="B3801" s="1" t="n">
        <v>44461</v>
      </c>
      <c r="C3801" s="1" t="n">
        <v>45210</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51277-2021</t>
        </is>
      </c>
      <c r="B3802" s="1" t="n">
        <v>44461</v>
      </c>
      <c r="C3802" s="1" t="n">
        <v>45210</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51414-2021</t>
        </is>
      </c>
      <c r="B3803" s="1" t="n">
        <v>44461</v>
      </c>
      <c r="C3803" s="1" t="n">
        <v>45210</v>
      </c>
      <c r="D3803" t="inlineStr">
        <is>
          <t>DALARNAS LÄN</t>
        </is>
      </c>
      <c r="E3803" t="inlineStr">
        <is>
          <t>VANSBRO</t>
        </is>
      </c>
      <c r="G3803" t="n">
        <v>1</v>
      </c>
      <c r="H3803" t="n">
        <v>0</v>
      </c>
      <c r="I3803" t="n">
        <v>0</v>
      </c>
      <c r="J3803" t="n">
        <v>0</v>
      </c>
      <c r="K3803" t="n">
        <v>0</v>
      </c>
      <c r="L3803" t="n">
        <v>0</v>
      </c>
      <c r="M3803" t="n">
        <v>0</v>
      </c>
      <c r="N3803" t="n">
        <v>0</v>
      </c>
      <c r="O3803" t="n">
        <v>0</v>
      </c>
      <c r="P3803" t="n">
        <v>0</v>
      </c>
      <c r="Q3803" t="n">
        <v>0</v>
      </c>
      <c r="R3803" s="2" t="inlineStr"/>
    </row>
    <row r="3804" ht="15" customHeight="1">
      <c r="A3804" t="inlineStr">
        <is>
          <t>A 52205-2021</t>
        </is>
      </c>
      <c r="B3804" s="1" t="n">
        <v>44462</v>
      </c>
      <c r="C3804" s="1" t="n">
        <v>45210</v>
      </c>
      <c r="D3804" t="inlineStr">
        <is>
          <t>DALARNAS LÄN</t>
        </is>
      </c>
      <c r="E3804" t="inlineStr">
        <is>
          <t>SÄTER</t>
        </is>
      </c>
      <c r="F3804" t="inlineStr">
        <is>
          <t>Bergvik skog väst AB</t>
        </is>
      </c>
      <c r="G3804" t="n">
        <v>8.6</v>
      </c>
      <c r="H3804" t="n">
        <v>0</v>
      </c>
      <c r="I3804" t="n">
        <v>0</v>
      </c>
      <c r="J3804" t="n">
        <v>0</v>
      </c>
      <c r="K3804" t="n">
        <v>0</v>
      </c>
      <c r="L3804" t="n">
        <v>0</v>
      </c>
      <c r="M3804" t="n">
        <v>0</v>
      </c>
      <c r="N3804" t="n">
        <v>0</v>
      </c>
      <c r="O3804" t="n">
        <v>0</v>
      </c>
      <c r="P3804" t="n">
        <v>0</v>
      </c>
      <c r="Q3804" t="n">
        <v>0</v>
      </c>
      <c r="R3804" s="2" t="inlineStr"/>
    </row>
    <row r="3805" ht="15" customHeight="1">
      <c r="A3805" t="inlineStr">
        <is>
          <t>A 52221-2021</t>
        </is>
      </c>
      <c r="B3805" s="1" t="n">
        <v>44462</v>
      </c>
      <c r="C3805" s="1" t="n">
        <v>45210</v>
      </c>
      <c r="D3805" t="inlineStr">
        <is>
          <t>DALARNAS LÄN</t>
        </is>
      </c>
      <c r="E3805" t="inlineStr">
        <is>
          <t>HEDEMORA</t>
        </is>
      </c>
      <c r="F3805" t="inlineStr">
        <is>
          <t>Bergvik skog väst AB</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51533-2021</t>
        </is>
      </c>
      <c r="B3806" s="1" t="n">
        <v>44462</v>
      </c>
      <c r="C3806" s="1" t="n">
        <v>45210</v>
      </c>
      <c r="D3806" t="inlineStr">
        <is>
          <t>DALARNAS LÄN</t>
        </is>
      </c>
      <c r="E3806" t="inlineStr">
        <is>
          <t>MALUNG-SÄLEN</t>
        </is>
      </c>
      <c r="G3806" t="n">
        <v>6.6</v>
      </c>
      <c r="H3806" t="n">
        <v>0</v>
      </c>
      <c r="I3806" t="n">
        <v>0</v>
      </c>
      <c r="J3806" t="n">
        <v>0</v>
      </c>
      <c r="K3806" t="n">
        <v>0</v>
      </c>
      <c r="L3806" t="n">
        <v>0</v>
      </c>
      <c r="M3806" t="n">
        <v>0</v>
      </c>
      <c r="N3806" t="n">
        <v>0</v>
      </c>
      <c r="O3806" t="n">
        <v>0</v>
      </c>
      <c r="P3806" t="n">
        <v>0</v>
      </c>
      <c r="Q3806" t="n">
        <v>0</v>
      </c>
      <c r="R3806" s="2" t="inlineStr"/>
    </row>
    <row r="3807" ht="15" customHeight="1">
      <c r="A3807" t="inlineStr">
        <is>
          <t>A 51731-2021</t>
        </is>
      </c>
      <c r="B3807" s="1" t="n">
        <v>44462</v>
      </c>
      <c r="C3807" s="1" t="n">
        <v>45210</v>
      </c>
      <c r="D3807" t="inlineStr">
        <is>
          <t>DALARNAS LÄN</t>
        </is>
      </c>
      <c r="E3807" t="inlineStr">
        <is>
          <t>SMEDJEBACKEN</t>
        </is>
      </c>
      <c r="F3807" t="inlineStr">
        <is>
          <t>Sveaskog</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52100-2021</t>
        </is>
      </c>
      <c r="B3808" s="1" t="n">
        <v>44462</v>
      </c>
      <c r="C3808" s="1" t="n">
        <v>45210</v>
      </c>
      <c r="D3808" t="inlineStr">
        <is>
          <t>DALARNAS LÄN</t>
        </is>
      </c>
      <c r="E3808" t="inlineStr">
        <is>
          <t>MALUNG-SÄLEN</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52190-2021</t>
        </is>
      </c>
      <c r="B3809" s="1" t="n">
        <v>44462</v>
      </c>
      <c r="C3809" s="1" t="n">
        <v>45210</v>
      </c>
      <c r="D3809" t="inlineStr">
        <is>
          <t>DALARNAS LÄN</t>
        </is>
      </c>
      <c r="E3809" t="inlineStr">
        <is>
          <t>SÄTER</t>
        </is>
      </c>
      <c r="F3809" t="inlineStr">
        <is>
          <t>Bergvik skog väst AB</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52215-2021</t>
        </is>
      </c>
      <c r="B3810" s="1" t="n">
        <v>44462</v>
      </c>
      <c r="C3810" s="1" t="n">
        <v>45210</v>
      </c>
      <c r="D3810" t="inlineStr">
        <is>
          <t>DALARNAS LÄN</t>
        </is>
      </c>
      <c r="E3810" t="inlineStr">
        <is>
          <t>HEDEMORA</t>
        </is>
      </c>
      <c r="F3810" t="inlineStr">
        <is>
          <t>Bergvik skog väst AB</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52071-2021</t>
        </is>
      </c>
      <c r="B3811" s="1" t="n">
        <v>44462</v>
      </c>
      <c r="C3811" s="1" t="n">
        <v>45210</v>
      </c>
      <c r="D3811" t="inlineStr">
        <is>
          <t>DALARNAS LÄN</t>
        </is>
      </c>
      <c r="E3811" t="inlineStr">
        <is>
          <t>MALUNG-SÄLEN</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52199-2021</t>
        </is>
      </c>
      <c r="B3812" s="1" t="n">
        <v>44462</v>
      </c>
      <c r="C3812" s="1" t="n">
        <v>45210</v>
      </c>
      <c r="D3812" t="inlineStr">
        <is>
          <t>DALARNAS LÄN</t>
        </is>
      </c>
      <c r="E3812" t="inlineStr">
        <is>
          <t>HEDEMORA</t>
        </is>
      </c>
      <c r="F3812" t="inlineStr">
        <is>
          <t>Bergvik skog väst AB</t>
        </is>
      </c>
      <c r="G3812" t="n">
        <v>4.4</v>
      </c>
      <c r="H3812" t="n">
        <v>0</v>
      </c>
      <c r="I3812" t="n">
        <v>0</v>
      </c>
      <c r="J3812" t="n">
        <v>0</v>
      </c>
      <c r="K3812" t="n">
        <v>0</v>
      </c>
      <c r="L3812" t="n">
        <v>0</v>
      </c>
      <c r="M3812" t="n">
        <v>0</v>
      </c>
      <c r="N3812" t="n">
        <v>0</v>
      </c>
      <c r="O3812" t="n">
        <v>0</v>
      </c>
      <c r="P3812" t="n">
        <v>0</v>
      </c>
      <c r="Q3812" t="n">
        <v>0</v>
      </c>
      <c r="R3812" s="2" t="inlineStr"/>
    </row>
    <row r="3813" ht="15" customHeight="1">
      <c r="A3813" t="inlineStr">
        <is>
          <t>A 52220-2021</t>
        </is>
      </c>
      <c r="B3813" s="1" t="n">
        <v>44462</v>
      </c>
      <c r="C3813" s="1" t="n">
        <v>45210</v>
      </c>
      <c r="D3813" t="inlineStr">
        <is>
          <t>DALARNAS LÄN</t>
        </is>
      </c>
      <c r="E3813" t="inlineStr">
        <is>
          <t>SÄTER</t>
        </is>
      </c>
      <c r="F3813" t="inlineStr">
        <is>
          <t>Bergvik skog väst AB</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52262-2021</t>
        </is>
      </c>
      <c r="B3814" s="1" t="n">
        <v>44463</v>
      </c>
      <c r="C3814" s="1" t="n">
        <v>45210</v>
      </c>
      <c r="D3814" t="inlineStr">
        <is>
          <t>DALARNAS LÄN</t>
        </is>
      </c>
      <c r="E3814" t="inlineStr">
        <is>
          <t>SÄTER</t>
        </is>
      </c>
      <c r="F3814" t="inlineStr">
        <is>
          <t>Bergvik skog väst AB</t>
        </is>
      </c>
      <c r="G3814" t="n">
        <v>2.1</v>
      </c>
      <c r="H3814" t="n">
        <v>0</v>
      </c>
      <c r="I3814" t="n">
        <v>0</v>
      </c>
      <c r="J3814" t="n">
        <v>0</v>
      </c>
      <c r="K3814" t="n">
        <v>0</v>
      </c>
      <c r="L3814" t="n">
        <v>0</v>
      </c>
      <c r="M3814" t="n">
        <v>0</v>
      </c>
      <c r="N3814" t="n">
        <v>0</v>
      </c>
      <c r="O3814" t="n">
        <v>0</v>
      </c>
      <c r="P3814" t="n">
        <v>0</v>
      </c>
      <c r="Q3814" t="n">
        <v>0</v>
      </c>
      <c r="R3814" s="2" t="inlineStr"/>
    </row>
    <row r="3815" ht="15" customHeight="1">
      <c r="A3815" t="inlineStr">
        <is>
          <t>A 52193-2021</t>
        </is>
      </c>
      <c r="B3815" s="1" t="n">
        <v>44463</v>
      </c>
      <c r="C3815" s="1" t="n">
        <v>45210</v>
      </c>
      <c r="D3815" t="inlineStr">
        <is>
          <t>DALARNAS LÄN</t>
        </is>
      </c>
      <c r="E3815" t="inlineStr">
        <is>
          <t>SÄTER</t>
        </is>
      </c>
      <c r="F3815" t="inlineStr">
        <is>
          <t>Bergvik skog väst AB</t>
        </is>
      </c>
      <c r="G3815" t="n">
        <v>3.3</v>
      </c>
      <c r="H3815" t="n">
        <v>0</v>
      </c>
      <c r="I3815" t="n">
        <v>0</v>
      </c>
      <c r="J3815" t="n">
        <v>0</v>
      </c>
      <c r="K3815" t="n">
        <v>0</v>
      </c>
      <c r="L3815" t="n">
        <v>0</v>
      </c>
      <c r="M3815" t="n">
        <v>0</v>
      </c>
      <c r="N3815" t="n">
        <v>0</v>
      </c>
      <c r="O3815" t="n">
        <v>0</v>
      </c>
      <c r="P3815" t="n">
        <v>0</v>
      </c>
      <c r="Q3815" t="n">
        <v>0</v>
      </c>
      <c r="R3815" s="2" t="inlineStr"/>
    </row>
    <row r="3816" ht="15" customHeight="1">
      <c r="A3816" t="inlineStr">
        <is>
          <t>A 52296-2021</t>
        </is>
      </c>
      <c r="B3816" s="1" t="n">
        <v>44463</v>
      </c>
      <c r="C3816" s="1" t="n">
        <v>45210</v>
      </c>
      <c r="D3816" t="inlineStr">
        <is>
          <t>DALARNAS LÄN</t>
        </is>
      </c>
      <c r="E3816" t="inlineStr">
        <is>
          <t>RÄTTVIK</t>
        </is>
      </c>
      <c r="F3816" t="inlineStr">
        <is>
          <t>Bergvik skog väst AB</t>
        </is>
      </c>
      <c r="G3816" t="n">
        <v>7.8</v>
      </c>
      <c r="H3816" t="n">
        <v>0</v>
      </c>
      <c r="I3816" t="n">
        <v>0</v>
      </c>
      <c r="J3816" t="n">
        <v>0</v>
      </c>
      <c r="K3816" t="n">
        <v>0</v>
      </c>
      <c r="L3816" t="n">
        <v>0</v>
      </c>
      <c r="M3816" t="n">
        <v>0</v>
      </c>
      <c r="N3816" t="n">
        <v>0</v>
      </c>
      <c r="O3816" t="n">
        <v>0</v>
      </c>
      <c r="P3816" t="n">
        <v>0</v>
      </c>
      <c r="Q3816" t="n">
        <v>0</v>
      </c>
      <c r="R3816" s="2" t="inlineStr"/>
    </row>
    <row r="3817" ht="15" customHeight="1">
      <c r="A3817" t="inlineStr">
        <is>
          <t>A 52542-2021</t>
        </is>
      </c>
      <c r="B3817" s="1" t="n">
        <v>44466</v>
      </c>
      <c r="C3817" s="1" t="n">
        <v>45210</v>
      </c>
      <c r="D3817" t="inlineStr">
        <is>
          <t>DALARNAS LÄN</t>
        </is>
      </c>
      <c r="E3817" t="inlineStr">
        <is>
          <t>ORSA</t>
        </is>
      </c>
      <c r="G3817" t="n">
        <v>0.3</v>
      </c>
      <c r="H3817" t="n">
        <v>0</v>
      </c>
      <c r="I3817" t="n">
        <v>0</v>
      </c>
      <c r="J3817" t="n">
        <v>0</v>
      </c>
      <c r="K3817" t="n">
        <v>0</v>
      </c>
      <c r="L3817" t="n">
        <v>0</v>
      </c>
      <c r="M3817" t="n">
        <v>0</v>
      </c>
      <c r="N3817" t="n">
        <v>0</v>
      </c>
      <c r="O3817" t="n">
        <v>0</v>
      </c>
      <c r="P3817" t="n">
        <v>0</v>
      </c>
      <c r="Q3817" t="n">
        <v>0</v>
      </c>
      <c r="R3817" s="2" t="inlineStr"/>
    </row>
    <row r="3818" ht="15" customHeight="1">
      <c r="A3818" t="inlineStr">
        <is>
          <t>A 52573-2021</t>
        </is>
      </c>
      <c r="B3818" s="1" t="n">
        <v>44466</v>
      </c>
      <c r="C3818" s="1" t="n">
        <v>45210</v>
      </c>
      <c r="D3818" t="inlineStr">
        <is>
          <t>DALARNAS LÄN</t>
        </is>
      </c>
      <c r="E3818" t="inlineStr">
        <is>
          <t>MORA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52633-2021</t>
        </is>
      </c>
      <c r="B3819" s="1" t="n">
        <v>44466</v>
      </c>
      <c r="C3819" s="1" t="n">
        <v>45210</v>
      </c>
      <c r="D3819" t="inlineStr">
        <is>
          <t>DALARNAS LÄN</t>
        </is>
      </c>
      <c r="E3819" t="inlineStr">
        <is>
          <t>FALUN</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53013-2021</t>
        </is>
      </c>
      <c r="B3820" s="1" t="n">
        <v>44466</v>
      </c>
      <c r="C3820" s="1" t="n">
        <v>45210</v>
      </c>
      <c r="D3820" t="inlineStr">
        <is>
          <t>DALARNAS LÄN</t>
        </is>
      </c>
      <c r="E3820" t="inlineStr">
        <is>
          <t>SMEDJEBACKEN</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52615-2021</t>
        </is>
      </c>
      <c r="B3821" s="1" t="n">
        <v>44466</v>
      </c>
      <c r="C3821" s="1" t="n">
        <v>45210</v>
      </c>
      <c r="D3821" t="inlineStr">
        <is>
          <t>DALARNAS LÄN</t>
        </is>
      </c>
      <c r="E3821" t="inlineStr">
        <is>
          <t>FALUN</t>
        </is>
      </c>
      <c r="G3821" t="n">
        <v>2.8</v>
      </c>
      <c r="H3821" t="n">
        <v>0</v>
      </c>
      <c r="I3821" t="n">
        <v>0</v>
      </c>
      <c r="J3821" t="n">
        <v>0</v>
      </c>
      <c r="K3821" t="n">
        <v>0</v>
      </c>
      <c r="L3821" t="n">
        <v>0</v>
      </c>
      <c r="M3821" t="n">
        <v>0</v>
      </c>
      <c r="N3821" t="n">
        <v>0</v>
      </c>
      <c r="O3821" t="n">
        <v>0</v>
      </c>
      <c r="P3821" t="n">
        <v>0</v>
      </c>
      <c r="Q3821" t="n">
        <v>0</v>
      </c>
      <c r="R3821" s="2" t="inlineStr"/>
    </row>
    <row r="3822" ht="15" customHeight="1">
      <c r="A3822" t="inlineStr">
        <is>
          <t>A 52634-2021</t>
        </is>
      </c>
      <c r="B3822" s="1" t="n">
        <v>44466</v>
      </c>
      <c r="C3822" s="1" t="n">
        <v>45210</v>
      </c>
      <c r="D3822" t="inlineStr">
        <is>
          <t>DALARNAS LÄN</t>
        </is>
      </c>
      <c r="E3822" t="inlineStr">
        <is>
          <t>BORLÄNGE</t>
        </is>
      </c>
      <c r="G3822" t="n">
        <v>10.9</v>
      </c>
      <c r="H3822" t="n">
        <v>0</v>
      </c>
      <c r="I3822" t="n">
        <v>0</v>
      </c>
      <c r="J3822" t="n">
        <v>0</v>
      </c>
      <c r="K3822" t="n">
        <v>0</v>
      </c>
      <c r="L3822" t="n">
        <v>0</v>
      </c>
      <c r="M3822" t="n">
        <v>0</v>
      </c>
      <c r="N3822" t="n">
        <v>0</v>
      </c>
      <c r="O3822" t="n">
        <v>0</v>
      </c>
      <c r="P3822" t="n">
        <v>0</v>
      </c>
      <c r="Q3822" t="n">
        <v>0</v>
      </c>
      <c r="R3822" s="2" t="inlineStr"/>
    </row>
    <row r="3823" ht="15" customHeight="1">
      <c r="A3823" t="inlineStr">
        <is>
          <t>A 52681-2021</t>
        </is>
      </c>
      <c r="B3823" s="1" t="n">
        <v>44466</v>
      </c>
      <c r="C3823" s="1" t="n">
        <v>45210</v>
      </c>
      <c r="D3823" t="inlineStr">
        <is>
          <t>DALARNAS LÄN</t>
        </is>
      </c>
      <c r="E3823" t="inlineStr">
        <is>
          <t>BORLÄNGE</t>
        </is>
      </c>
      <c r="G3823" t="n">
        <v>3.5</v>
      </c>
      <c r="H3823" t="n">
        <v>0</v>
      </c>
      <c r="I3823" t="n">
        <v>0</v>
      </c>
      <c r="J3823" t="n">
        <v>0</v>
      </c>
      <c r="K3823" t="n">
        <v>0</v>
      </c>
      <c r="L3823" t="n">
        <v>0</v>
      </c>
      <c r="M3823" t="n">
        <v>0</v>
      </c>
      <c r="N3823" t="n">
        <v>0</v>
      </c>
      <c r="O3823" t="n">
        <v>0</v>
      </c>
      <c r="P3823" t="n">
        <v>0</v>
      </c>
      <c r="Q3823" t="n">
        <v>0</v>
      </c>
      <c r="R3823" s="2" t="inlineStr"/>
    </row>
    <row r="3824" ht="15" customHeight="1">
      <c r="A3824" t="inlineStr">
        <is>
          <t>A 52619-2021</t>
        </is>
      </c>
      <c r="B3824" s="1" t="n">
        <v>44466</v>
      </c>
      <c r="C3824" s="1" t="n">
        <v>45210</v>
      </c>
      <c r="D3824" t="inlineStr">
        <is>
          <t>DALARNAS LÄN</t>
        </is>
      </c>
      <c r="E3824" t="inlineStr">
        <is>
          <t>FALUN</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53092-2021</t>
        </is>
      </c>
      <c r="B3825" s="1" t="n">
        <v>44467</v>
      </c>
      <c r="C3825" s="1" t="n">
        <v>45210</v>
      </c>
      <c r="D3825" t="inlineStr">
        <is>
          <t>DALARNAS LÄN</t>
        </is>
      </c>
      <c r="E3825" t="inlineStr">
        <is>
          <t>BORLÄNGE</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53102-2021</t>
        </is>
      </c>
      <c r="B3826" s="1" t="n">
        <v>44467</v>
      </c>
      <c r="C3826" s="1" t="n">
        <v>45210</v>
      </c>
      <c r="D3826" t="inlineStr">
        <is>
          <t>DALARNAS LÄN</t>
        </is>
      </c>
      <c r="E3826" t="inlineStr">
        <is>
          <t>ORSA</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52818-2021</t>
        </is>
      </c>
      <c r="B3827" s="1" t="n">
        <v>44467</v>
      </c>
      <c r="C3827" s="1" t="n">
        <v>45210</v>
      </c>
      <c r="D3827" t="inlineStr">
        <is>
          <t>DALARNAS LÄN</t>
        </is>
      </c>
      <c r="E3827" t="inlineStr">
        <is>
          <t>AVESTA</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52866-2021</t>
        </is>
      </c>
      <c r="B3828" s="1" t="n">
        <v>44467</v>
      </c>
      <c r="C3828" s="1" t="n">
        <v>45210</v>
      </c>
      <c r="D3828" t="inlineStr">
        <is>
          <t>DALARNAS LÄN</t>
        </is>
      </c>
      <c r="E3828" t="inlineStr">
        <is>
          <t>ÄLVDALEN</t>
        </is>
      </c>
      <c r="F3828" t="inlineStr">
        <is>
          <t>Sveaskog</t>
        </is>
      </c>
      <c r="G3828" t="n">
        <v>7.1</v>
      </c>
      <c r="H3828" t="n">
        <v>0</v>
      </c>
      <c r="I3828" t="n">
        <v>0</v>
      </c>
      <c r="J3828" t="n">
        <v>0</v>
      </c>
      <c r="K3828" t="n">
        <v>0</v>
      </c>
      <c r="L3828" t="n">
        <v>0</v>
      </c>
      <c r="M3828" t="n">
        <v>0</v>
      </c>
      <c r="N3828" t="n">
        <v>0</v>
      </c>
      <c r="O3828" t="n">
        <v>0</v>
      </c>
      <c r="P3828" t="n">
        <v>0</v>
      </c>
      <c r="Q3828" t="n">
        <v>0</v>
      </c>
      <c r="R3828" s="2" t="inlineStr"/>
    </row>
    <row r="3829" ht="15" customHeight="1">
      <c r="A3829" t="inlineStr">
        <is>
          <t>A 52873-2021</t>
        </is>
      </c>
      <c r="B3829" s="1" t="n">
        <v>44467</v>
      </c>
      <c r="C3829" s="1" t="n">
        <v>45210</v>
      </c>
      <c r="D3829" t="inlineStr">
        <is>
          <t>DALARNAS LÄN</t>
        </is>
      </c>
      <c r="E3829" t="inlineStr">
        <is>
          <t>ÄLVDALEN</t>
        </is>
      </c>
      <c r="F3829" t="inlineStr">
        <is>
          <t>Sveaskog</t>
        </is>
      </c>
      <c r="G3829" t="n">
        <v>14.2</v>
      </c>
      <c r="H3829" t="n">
        <v>0</v>
      </c>
      <c r="I3829" t="n">
        <v>0</v>
      </c>
      <c r="J3829" t="n">
        <v>0</v>
      </c>
      <c r="K3829" t="n">
        <v>0</v>
      </c>
      <c r="L3829" t="n">
        <v>0</v>
      </c>
      <c r="M3829" t="n">
        <v>0</v>
      </c>
      <c r="N3829" t="n">
        <v>0</v>
      </c>
      <c r="O3829" t="n">
        <v>0</v>
      </c>
      <c r="P3829" t="n">
        <v>0</v>
      </c>
      <c r="Q3829" t="n">
        <v>0</v>
      </c>
      <c r="R3829" s="2" t="inlineStr"/>
    </row>
    <row r="3830" ht="15" customHeight="1">
      <c r="A3830" t="inlineStr">
        <is>
          <t>A 53443-2021</t>
        </is>
      </c>
      <c r="B3830" s="1" t="n">
        <v>44468</v>
      </c>
      <c r="C3830" s="1" t="n">
        <v>45210</v>
      </c>
      <c r="D3830" t="inlineStr">
        <is>
          <t>DALARNAS LÄN</t>
        </is>
      </c>
      <c r="E3830" t="inlineStr">
        <is>
          <t>HEDEMORA</t>
        </is>
      </c>
      <c r="F3830" t="inlineStr">
        <is>
          <t>Övriga Aktiebolag</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53210-2021</t>
        </is>
      </c>
      <c r="B3831" s="1" t="n">
        <v>44468</v>
      </c>
      <c r="C3831" s="1" t="n">
        <v>45210</v>
      </c>
      <c r="D3831" t="inlineStr">
        <is>
          <t>DALARNAS LÄN</t>
        </is>
      </c>
      <c r="E3831" t="inlineStr">
        <is>
          <t>MALUNG-SÄLEN</t>
        </is>
      </c>
      <c r="F3831" t="inlineStr">
        <is>
          <t>Bergvik skog öst AB</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53377-2021</t>
        </is>
      </c>
      <c r="B3832" s="1" t="n">
        <v>44468</v>
      </c>
      <c r="C3832" s="1" t="n">
        <v>45210</v>
      </c>
      <c r="D3832" t="inlineStr">
        <is>
          <t>DALARNAS LÄN</t>
        </is>
      </c>
      <c r="E3832" t="inlineStr">
        <is>
          <t>FALUN</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53455-2021</t>
        </is>
      </c>
      <c r="B3833" s="1" t="n">
        <v>44468</v>
      </c>
      <c r="C3833" s="1" t="n">
        <v>45210</v>
      </c>
      <c r="D3833" t="inlineStr">
        <is>
          <t>DALARNAS LÄN</t>
        </is>
      </c>
      <c r="E3833" t="inlineStr">
        <is>
          <t>BORLÄNGE</t>
        </is>
      </c>
      <c r="G3833" t="n">
        <v>0.3</v>
      </c>
      <c r="H3833" t="n">
        <v>0</v>
      </c>
      <c r="I3833" t="n">
        <v>0</v>
      </c>
      <c r="J3833" t="n">
        <v>0</v>
      </c>
      <c r="K3833" t="n">
        <v>0</v>
      </c>
      <c r="L3833" t="n">
        <v>0</v>
      </c>
      <c r="M3833" t="n">
        <v>0</v>
      </c>
      <c r="N3833" t="n">
        <v>0</v>
      </c>
      <c r="O3833" t="n">
        <v>0</v>
      </c>
      <c r="P3833" t="n">
        <v>0</v>
      </c>
      <c r="Q3833" t="n">
        <v>0</v>
      </c>
      <c r="R3833" s="2" t="inlineStr"/>
    </row>
    <row r="3834" ht="15" customHeight="1">
      <c r="A3834" t="inlineStr">
        <is>
          <t>A 53740-2021</t>
        </is>
      </c>
      <c r="B3834" s="1" t="n">
        <v>44469</v>
      </c>
      <c r="C3834" s="1" t="n">
        <v>45210</v>
      </c>
      <c r="D3834" t="inlineStr">
        <is>
          <t>DALARNAS LÄN</t>
        </is>
      </c>
      <c r="E3834" t="inlineStr">
        <is>
          <t>ORSA</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53625-2021</t>
        </is>
      </c>
      <c r="B3835" s="1" t="n">
        <v>44469</v>
      </c>
      <c r="C3835" s="1" t="n">
        <v>45210</v>
      </c>
      <c r="D3835" t="inlineStr">
        <is>
          <t>DALARNAS LÄN</t>
        </is>
      </c>
      <c r="E3835" t="inlineStr">
        <is>
          <t>LEKSAND</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54219-2021</t>
        </is>
      </c>
      <c r="B3836" s="1" t="n">
        <v>44469</v>
      </c>
      <c r="C3836" s="1" t="n">
        <v>45210</v>
      </c>
      <c r="D3836" t="inlineStr">
        <is>
          <t>DALARNAS LÄN</t>
        </is>
      </c>
      <c r="E3836" t="inlineStr">
        <is>
          <t>MALUNG-SÄLEN</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53583-2021</t>
        </is>
      </c>
      <c r="B3837" s="1" t="n">
        <v>44469</v>
      </c>
      <c r="C3837" s="1" t="n">
        <v>45210</v>
      </c>
      <c r="D3837" t="inlineStr">
        <is>
          <t>DALARNAS LÄN</t>
        </is>
      </c>
      <c r="E3837" t="inlineStr">
        <is>
          <t>SMEDJEBACKEN</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53745-2021</t>
        </is>
      </c>
      <c r="B3838" s="1" t="n">
        <v>44469</v>
      </c>
      <c r="C3838" s="1" t="n">
        <v>45210</v>
      </c>
      <c r="D3838" t="inlineStr">
        <is>
          <t>DALARNAS LÄN</t>
        </is>
      </c>
      <c r="E3838" t="inlineStr">
        <is>
          <t>ORSA</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54182-2021</t>
        </is>
      </c>
      <c r="B3839" s="1" t="n">
        <v>44470</v>
      </c>
      <c r="C3839" s="1" t="n">
        <v>45210</v>
      </c>
      <c r="D3839" t="inlineStr">
        <is>
          <t>DALARNAS LÄN</t>
        </is>
      </c>
      <c r="E3839" t="inlineStr">
        <is>
          <t>RÄTTVIK</t>
        </is>
      </c>
      <c r="F3839" t="inlineStr">
        <is>
          <t>Sveaskog</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54279-2021</t>
        </is>
      </c>
      <c r="B3840" s="1" t="n">
        <v>44470</v>
      </c>
      <c r="C3840" s="1" t="n">
        <v>45210</v>
      </c>
      <c r="D3840" t="inlineStr">
        <is>
          <t>DALARNAS LÄN</t>
        </is>
      </c>
      <c r="E3840" t="inlineStr">
        <is>
          <t>LUDVIKA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53982-2021</t>
        </is>
      </c>
      <c r="B3841" s="1" t="n">
        <v>44470</v>
      </c>
      <c r="C3841" s="1" t="n">
        <v>45210</v>
      </c>
      <c r="D3841" t="inlineStr">
        <is>
          <t>DALARNAS LÄN</t>
        </is>
      </c>
      <c r="E3841" t="inlineStr">
        <is>
          <t>FALUN</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54021-2021</t>
        </is>
      </c>
      <c r="B3842" s="1" t="n">
        <v>44470</v>
      </c>
      <c r="C3842" s="1" t="n">
        <v>45210</v>
      </c>
      <c r="D3842" t="inlineStr">
        <is>
          <t>DALARNAS LÄN</t>
        </is>
      </c>
      <c r="E3842" t="inlineStr">
        <is>
          <t>RÄTTVIK</t>
        </is>
      </c>
      <c r="F3842" t="inlineStr">
        <is>
          <t>Bergvik skog väst AB</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54281-2021</t>
        </is>
      </c>
      <c r="B3843" s="1" t="n">
        <v>44470</v>
      </c>
      <c r="C3843" s="1" t="n">
        <v>45210</v>
      </c>
      <c r="D3843" t="inlineStr">
        <is>
          <t>DALARNAS LÄN</t>
        </is>
      </c>
      <c r="E3843" t="inlineStr">
        <is>
          <t>RÄTTVIK</t>
        </is>
      </c>
      <c r="G3843" t="n">
        <v>14.8</v>
      </c>
      <c r="H3843" t="n">
        <v>0</v>
      </c>
      <c r="I3843" t="n">
        <v>0</v>
      </c>
      <c r="J3843" t="n">
        <v>0</v>
      </c>
      <c r="K3843" t="n">
        <v>0</v>
      </c>
      <c r="L3843" t="n">
        <v>0</v>
      </c>
      <c r="M3843" t="n">
        <v>0</v>
      </c>
      <c r="N3843" t="n">
        <v>0</v>
      </c>
      <c r="O3843" t="n">
        <v>0</v>
      </c>
      <c r="P3843" t="n">
        <v>0</v>
      </c>
      <c r="Q3843" t="n">
        <v>0</v>
      </c>
      <c r="R3843" s="2" t="inlineStr"/>
    </row>
    <row r="3844" ht="15" customHeight="1">
      <c r="A3844" t="inlineStr">
        <is>
          <t>A 54292-2021</t>
        </is>
      </c>
      <c r="B3844" s="1" t="n">
        <v>44471</v>
      </c>
      <c r="C3844" s="1" t="n">
        <v>45210</v>
      </c>
      <c r="D3844" t="inlineStr">
        <is>
          <t>DALARNAS LÄN</t>
        </is>
      </c>
      <c r="E3844" t="inlineStr">
        <is>
          <t>ÄLVDALEN</t>
        </is>
      </c>
      <c r="G3844" t="n">
        <v>3.1</v>
      </c>
      <c r="H3844" t="n">
        <v>0</v>
      </c>
      <c r="I3844" t="n">
        <v>0</v>
      </c>
      <c r="J3844" t="n">
        <v>0</v>
      </c>
      <c r="K3844" t="n">
        <v>0</v>
      </c>
      <c r="L3844" t="n">
        <v>0</v>
      </c>
      <c r="M3844" t="n">
        <v>0</v>
      </c>
      <c r="N3844" t="n">
        <v>0</v>
      </c>
      <c r="O3844" t="n">
        <v>0</v>
      </c>
      <c r="P3844" t="n">
        <v>0</v>
      </c>
      <c r="Q3844" t="n">
        <v>0</v>
      </c>
      <c r="R3844" s="2" t="inlineStr"/>
    </row>
    <row r="3845" ht="15" customHeight="1">
      <c r="A3845" t="inlineStr">
        <is>
          <t>A 54572-2021</t>
        </is>
      </c>
      <c r="B3845" s="1" t="n">
        <v>44473</v>
      </c>
      <c r="C3845" s="1" t="n">
        <v>45210</v>
      </c>
      <c r="D3845" t="inlineStr">
        <is>
          <t>DALARNAS LÄN</t>
        </is>
      </c>
      <c r="E3845" t="inlineStr">
        <is>
          <t>RÄTTVIK</t>
        </is>
      </c>
      <c r="G3845" t="n">
        <v>12.1</v>
      </c>
      <c r="H3845" t="n">
        <v>0</v>
      </c>
      <c r="I3845" t="n">
        <v>0</v>
      </c>
      <c r="J3845" t="n">
        <v>0</v>
      </c>
      <c r="K3845" t="n">
        <v>0</v>
      </c>
      <c r="L3845" t="n">
        <v>0</v>
      </c>
      <c r="M3845" t="n">
        <v>0</v>
      </c>
      <c r="N3845" t="n">
        <v>0</v>
      </c>
      <c r="O3845" t="n">
        <v>0</v>
      </c>
      <c r="P3845" t="n">
        <v>0</v>
      </c>
      <c r="Q3845" t="n">
        <v>0</v>
      </c>
      <c r="R3845" s="2" t="inlineStr"/>
    </row>
    <row r="3846" ht="15" customHeight="1">
      <c r="A3846" t="inlineStr">
        <is>
          <t>A 54382-2021</t>
        </is>
      </c>
      <c r="B3846" s="1" t="n">
        <v>44473</v>
      </c>
      <c r="C3846" s="1" t="n">
        <v>45210</v>
      </c>
      <c r="D3846" t="inlineStr">
        <is>
          <t>DALARNAS LÄN</t>
        </is>
      </c>
      <c r="E3846" t="inlineStr">
        <is>
          <t>SMEDJEBACKEN</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54387-2021</t>
        </is>
      </c>
      <c r="B3847" s="1" t="n">
        <v>44473</v>
      </c>
      <c r="C3847" s="1" t="n">
        <v>45210</v>
      </c>
      <c r="D3847" t="inlineStr">
        <is>
          <t>DALARNAS LÄN</t>
        </is>
      </c>
      <c r="E3847" t="inlineStr">
        <is>
          <t>ÄLVDALEN</t>
        </is>
      </c>
      <c r="F3847" t="inlineStr">
        <is>
          <t>Bergvik skog öst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54409-2021</t>
        </is>
      </c>
      <c r="B3848" s="1" t="n">
        <v>44473</v>
      </c>
      <c r="C3848" s="1" t="n">
        <v>45210</v>
      </c>
      <c r="D3848" t="inlineStr">
        <is>
          <t>DALARNAS LÄN</t>
        </is>
      </c>
      <c r="E3848" t="inlineStr">
        <is>
          <t>MORA</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54551-2021</t>
        </is>
      </c>
      <c r="B3849" s="1" t="n">
        <v>44473</v>
      </c>
      <c r="C3849" s="1" t="n">
        <v>45210</v>
      </c>
      <c r="D3849" t="inlineStr">
        <is>
          <t>DALARNAS LÄN</t>
        </is>
      </c>
      <c r="E3849" t="inlineStr">
        <is>
          <t>MALUNG-SÄLEN</t>
        </is>
      </c>
      <c r="G3849" t="n">
        <v>0.3</v>
      </c>
      <c r="H3849" t="n">
        <v>0</v>
      </c>
      <c r="I3849" t="n">
        <v>0</v>
      </c>
      <c r="J3849" t="n">
        <v>0</v>
      </c>
      <c r="K3849" t="n">
        <v>0</v>
      </c>
      <c r="L3849" t="n">
        <v>0</v>
      </c>
      <c r="M3849" t="n">
        <v>0</v>
      </c>
      <c r="N3849" t="n">
        <v>0</v>
      </c>
      <c r="O3849" t="n">
        <v>0</v>
      </c>
      <c r="P3849" t="n">
        <v>0</v>
      </c>
      <c r="Q3849" t="n">
        <v>0</v>
      </c>
      <c r="R3849" s="2" t="inlineStr"/>
    </row>
    <row r="3850" ht="15" customHeight="1">
      <c r="A3850" t="inlineStr">
        <is>
          <t>A 54971-2021</t>
        </is>
      </c>
      <c r="B3850" s="1" t="n">
        <v>44474</v>
      </c>
      <c r="C3850" s="1" t="n">
        <v>45210</v>
      </c>
      <c r="D3850" t="inlineStr">
        <is>
          <t>DALARNAS LÄN</t>
        </is>
      </c>
      <c r="E3850" t="inlineStr">
        <is>
          <t>SMEDJEBACKEN</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54870-2021</t>
        </is>
      </c>
      <c r="B3851" s="1" t="n">
        <v>44474</v>
      </c>
      <c r="C3851" s="1" t="n">
        <v>45210</v>
      </c>
      <c r="D3851" t="inlineStr">
        <is>
          <t>DALARNAS LÄN</t>
        </is>
      </c>
      <c r="E3851" t="inlineStr">
        <is>
          <t>GAGNEF</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54983-2021</t>
        </is>
      </c>
      <c r="B3852" s="1" t="n">
        <v>44474</v>
      </c>
      <c r="C3852" s="1" t="n">
        <v>45210</v>
      </c>
      <c r="D3852" t="inlineStr">
        <is>
          <t>DALARNAS LÄN</t>
        </is>
      </c>
      <c r="E3852" t="inlineStr">
        <is>
          <t>RÄTTVIK</t>
        </is>
      </c>
      <c r="G3852" t="n">
        <v>5.5</v>
      </c>
      <c r="H3852" t="n">
        <v>0</v>
      </c>
      <c r="I3852" t="n">
        <v>0</v>
      </c>
      <c r="J3852" t="n">
        <v>0</v>
      </c>
      <c r="K3852" t="n">
        <v>0</v>
      </c>
      <c r="L3852" t="n">
        <v>0</v>
      </c>
      <c r="M3852" t="n">
        <v>0</v>
      </c>
      <c r="N3852" t="n">
        <v>0</v>
      </c>
      <c r="O3852" t="n">
        <v>0</v>
      </c>
      <c r="P3852" t="n">
        <v>0</v>
      </c>
      <c r="Q3852" t="n">
        <v>0</v>
      </c>
      <c r="R3852" s="2" t="inlineStr"/>
    </row>
    <row r="3853" ht="15" customHeight="1">
      <c r="A3853" t="inlineStr">
        <is>
          <t>A 55567-2021</t>
        </is>
      </c>
      <c r="B3853" s="1" t="n">
        <v>44475</v>
      </c>
      <c r="C3853" s="1" t="n">
        <v>45210</v>
      </c>
      <c r="D3853" t="inlineStr">
        <is>
          <t>DALARNAS LÄN</t>
        </is>
      </c>
      <c r="E3853" t="inlineStr">
        <is>
          <t>FALUN</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55354-2021</t>
        </is>
      </c>
      <c r="B3854" s="1" t="n">
        <v>44475</v>
      </c>
      <c r="C3854" s="1" t="n">
        <v>45210</v>
      </c>
      <c r="D3854" t="inlineStr">
        <is>
          <t>DALARNAS LÄN</t>
        </is>
      </c>
      <c r="E3854" t="inlineStr">
        <is>
          <t>ORSA</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55525-2021</t>
        </is>
      </c>
      <c r="B3855" s="1" t="n">
        <v>44475</v>
      </c>
      <c r="C3855" s="1" t="n">
        <v>45210</v>
      </c>
      <c r="D3855" t="inlineStr">
        <is>
          <t>DALARNAS LÄN</t>
        </is>
      </c>
      <c r="E3855" t="inlineStr">
        <is>
          <t>BORLÄNGE</t>
        </is>
      </c>
      <c r="F3855" t="inlineStr">
        <is>
          <t>Bergvik skog väst AB</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55514-2021</t>
        </is>
      </c>
      <c r="B3856" s="1" t="n">
        <v>44475</v>
      </c>
      <c r="C3856" s="1" t="n">
        <v>45210</v>
      </c>
      <c r="D3856" t="inlineStr">
        <is>
          <t>DALARNAS LÄN</t>
        </is>
      </c>
      <c r="E3856" t="inlineStr">
        <is>
          <t>MALUNG-SÄLEN</t>
        </is>
      </c>
      <c r="G3856" t="n">
        <v>4</v>
      </c>
      <c r="H3856" t="n">
        <v>0</v>
      </c>
      <c r="I3856" t="n">
        <v>0</v>
      </c>
      <c r="J3856" t="n">
        <v>0</v>
      </c>
      <c r="K3856" t="n">
        <v>0</v>
      </c>
      <c r="L3856" t="n">
        <v>0</v>
      </c>
      <c r="M3856" t="n">
        <v>0</v>
      </c>
      <c r="N3856" t="n">
        <v>0</v>
      </c>
      <c r="O3856" t="n">
        <v>0</v>
      </c>
      <c r="P3856" t="n">
        <v>0</v>
      </c>
      <c r="Q3856" t="n">
        <v>0</v>
      </c>
      <c r="R3856" s="2" t="inlineStr"/>
    </row>
    <row r="3857" ht="15" customHeight="1">
      <c r="A3857" t="inlineStr">
        <is>
          <t>A 55626-2021</t>
        </is>
      </c>
      <c r="B3857" s="1" t="n">
        <v>44475</v>
      </c>
      <c r="C3857" s="1" t="n">
        <v>45210</v>
      </c>
      <c r="D3857" t="inlineStr">
        <is>
          <t>DALARNAS LÄN</t>
        </is>
      </c>
      <c r="E3857" t="inlineStr">
        <is>
          <t>SMEDJEBACKEN</t>
        </is>
      </c>
      <c r="F3857" t="inlineStr">
        <is>
          <t>Bergvik skog väst AB</t>
        </is>
      </c>
      <c r="G3857" t="n">
        <v>5.1</v>
      </c>
      <c r="H3857" t="n">
        <v>0</v>
      </c>
      <c r="I3857" t="n">
        <v>0</v>
      </c>
      <c r="J3857" t="n">
        <v>0</v>
      </c>
      <c r="K3857" t="n">
        <v>0</v>
      </c>
      <c r="L3857" t="n">
        <v>0</v>
      </c>
      <c r="M3857" t="n">
        <v>0</v>
      </c>
      <c r="N3857" t="n">
        <v>0</v>
      </c>
      <c r="O3857" t="n">
        <v>0</v>
      </c>
      <c r="P3857" t="n">
        <v>0</v>
      </c>
      <c r="Q3857" t="n">
        <v>0</v>
      </c>
      <c r="R3857" s="2" t="inlineStr"/>
    </row>
    <row r="3858" ht="15" customHeight="1">
      <c r="A3858" t="inlineStr">
        <is>
          <t>A 55707-2021</t>
        </is>
      </c>
      <c r="B3858" s="1" t="n">
        <v>44475</v>
      </c>
      <c r="C3858" s="1" t="n">
        <v>45210</v>
      </c>
      <c r="D3858" t="inlineStr">
        <is>
          <t>DALARNAS LÄN</t>
        </is>
      </c>
      <c r="E3858" t="inlineStr">
        <is>
          <t>BORLÄNGE</t>
        </is>
      </c>
      <c r="F3858" t="inlineStr">
        <is>
          <t>Övriga statliga verk och myndigheter</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55619-2021</t>
        </is>
      </c>
      <c r="B3859" s="1" t="n">
        <v>44475</v>
      </c>
      <c r="C3859" s="1" t="n">
        <v>45210</v>
      </c>
      <c r="D3859" t="inlineStr">
        <is>
          <t>DALARNAS LÄN</t>
        </is>
      </c>
      <c r="E3859" t="inlineStr">
        <is>
          <t>SMEDJEBACKEN</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55650-2021</t>
        </is>
      </c>
      <c r="B3860" s="1" t="n">
        <v>44475</v>
      </c>
      <c r="C3860" s="1" t="n">
        <v>45210</v>
      </c>
      <c r="D3860" t="inlineStr">
        <is>
          <t>DALARNAS LÄN</t>
        </is>
      </c>
      <c r="E3860" t="inlineStr">
        <is>
          <t>SMEDJEBACKEN</t>
        </is>
      </c>
      <c r="F3860" t="inlineStr">
        <is>
          <t>Bergvik skog väst AB</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55633-2021</t>
        </is>
      </c>
      <c r="B3861" s="1" t="n">
        <v>44476</v>
      </c>
      <c r="C3861" s="1" t="n">
        <v>45210</v>
      </c>
      <c r="D3861" t="inlineStr">
        <is>
          <t>DALARNAS LÄN</t>
        </is>
      </c>
      <c r="E3861" t="inlineStr">
        <is>
          <t>LUDVIKA</t>
        </is>
      </c>
      <c r="F3861" t="inlineStr">
        <is>
          <t>Övriga Aktiebolag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55778-2021</t>
        </is>
      </c>
      <c r="B3862" s="1" t="n">
        <v>44476</v>
      </c>
      <c r="C3862" s="1" t="n">
        <v>45210</v>
      </c>
      <c r="D3862" t="inlineStr">
        <is>
          <t>DALARNAS LÄN</t>
        </is>
      </c>
      <c r="E3862" t="inlineStr">
        <is>
          <t>ÄLVDALEN</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55869-2021</t>
        </is>
      </c>
      <c r="B3863" s="1" t="n">
        <v>44476</v>
      </c>
      <c r="C3863" s="1" t="n">
        <v>45210</v>
      </c>
      <c r="D3863" t="inlineStr">
        <is>
          <t>DALARNAS LÄN</t>
        </is>
      </c>
      <c r="E3863" t="inlineStr">
        <is>
          <t>GAGNEF</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55774-2021</t>
        </is>
      </c>
      <c r="B3864" s="1" t="n">
        <v>44476</v>
      </c>
      <c r="C3864" s="1" t="n">
        <v>45210</v>
      </c>
      <c r="D3864" t="inlineStr">
        <is>
          <t>DALARNAS LÄN</t>
        </is>
      </c>
      <c r="E3864" t="inlineStr">
        <is>
          <t>VANSBRO</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55851-2021</t>
        </is>
      </c>
      <c r="B3865" s="1" t="n">
        <v>44476</v>
      </c>
      <c r="C3865" s="1" t="n">
        <v>45210</v>
      </c>
      <c r="D3865" t="inlineStr">
        <is>
          <t>DALARNAS LÄN</t>
        </is>
      </c>
      <c r="E3865" t="inlineStr">
        <is>
          <t>SMEDJEBACKEN</t>
        </is>
      </c>
      <c r="F3865" t="inlineStr">
        <is>
          <t>Övriga Aktiebolag</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55969-2021</t>
        </is>
      </c>
      <c r="B3866" s="1" t="n">
        <v>44477</v>
      </c>
      <c r="C3866" s="1" t="n">
        <v>45210</v>
      </c>
      <c r="D3866" t="inlineStr">
        <is>
          <t>DALARNAS LÄN</t>
        </is>
      </c>
      <c r="E3866" t="inlineStr">
        <is>
          <t>RÄTTVIK</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56012-2021</t>
        </is>
      </c>
      <c r="B3867" s="1" t="n">
        <v>44477</v>
      </c>
      <c r="C3867" s="1" t="n">
        <v>45210</v>
      </c>
      <c r="D3867" t="inlineStr">
        <is>
          <t>DALARNAS LÄN</t>
        </is>
      </c>
      <c r="E3867" t="inlineStr">
        <is>
          <t>SMEDJEBACKEN</t>
        </is>
      </c>
      <c r="F3867" t="inlineStr">
        <is>
          <t>Bergvik skog väst AB</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55960-2021</t>
        </is>
      </c>
      <c r="B3868" s="1" t="n">
        <v>44477</v>
      </c>
      <c r="C3868" s="1" t="n">
        <v>45210</v>
      </c>
      <c r="D3868" t="inlineStr">
        <is>
          <t>DALARNAS LÄN</t>
        </is>
      </c>
      <c r="E3868" t="inlineStr">
        <is>
          <t>RÄTTVIK</t>
        </is>
      </c>
      <c r="G3868" t="n">
        <v>3.2</v>
      </c>
      <c r="H3868" t="n">
        <v>0</v>
      </c>
      <c r="I3868" t="n">
        <v>0</v>
      </c>
      <c r="J3868" t="n">
        <v>0</v>
      </c>
      <c r="K3868" t="n">
        <v>0</v>
      </c>
      <c r="L3868" t="n">
        <v>0</v>
      </c>
      <c r="M3868" t="n">
        <v>0</v>
      </c>
      <c r="N3868" t="n">
        <v>0</v>
      </c>
      <c r="O3868" t="n">
        <v>0</v>
      </c>
      <c r="P3868" t="n">
        <v>0</v>
      </c>
      <c r="Q3868" t="n">
        <v>0</v>
      </c>
      <c r="R3868" s="2" t="inlineStr"/>
    </row>
    <row r="3869" ht="15" customHeight="1">
      <c r="A3869" t="inlineStr">
        <is>
          <t>A 56045-2021</t>
        </is>
      </c>
      <c r="B3869" s="1" t="n">
        <v>44477</v>
      </c>
      <c r="C3869" s="1" t="n">
        <v>45210</v>
      </c>
      <c r="D3869" t="inlineStr">
        <is>
          <t>DALARNAS LÄN</t>
        </is>
      </c>
      <c r="E3869" t="inlineStr">
        <is>
          <t>ÄLVDALEN</t>
        </is>
      </c>
      <c r="F3869" t="inlineStr">
        <is>
          <t>Sveaskog</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56119-2021</t>
        </is>
      </c>
      <c r="B3870" s="1" t="n">
        <v>44477</v>
      </c>
      <c r="C3870" s="1" t="n">
        <v>45210</v>
      </c>
      <c r="D3870" t="inlineStr">
        <is>
          <t>DALARNAS LÄN</t>
        </is>
      </c>
      <c r="E3870" t="inlineStr">
        <is>
          <t>LUDVIKA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56162-2021</t>
        </is>
      </c>
      <c r="B3871" s="1" t="n">
        <v>44477</v>
      </c>
      <c r="C3871" s="1" t="n">
        <v>45210</v>
      </c>
      <c r="D3871" t="inlineStr">
        <is>
          <t>DALARNAS LÄN</t>
        </is>
      </c>
      <c r="E3871" t="inlineStr">
        <is>
          <t>ORSA</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56104-2021</t>
        </is>
      </c>
      <c r="B3872" s="1" t="n">
        <v>44477</v>
      </c>
      <c r="C3872" s="1" t="n">
        <v>45210</v>
      </c>
      <c r="D3872" t="inlineStr">
        <is>
          <t>DALARNAS LÄN</t>
        </is>
      </c>
      <c r="E3872" t="inlineStr">
        <is>
          <t>RÄTTVIK</t>
        </is>
      </c>
      <c r="G3872" t="n">
        <v>1.6</v>
      </c>
      <c r="H3872" t="n">
        <v>0</v>
      </c>
      <c r="I3872" t="n">
        <v>0</v>
      </c>
      <c r="J3872" t="n">
        <v>0</v>
      </c>
      <c r="K3872" t="n">
        <v>0</v>
      </c>
      <c r="L3872" t="n">
        <v>0</v>
      </c>
      <c r="M3872" t="n">
        <v>0</v>
      </c>
      <c r="N3872" t="n">
        <v>0</v>
      </c>
      <c r="O3872" t="n">
        <v>0</v>
      </c>
      <c r="P3872" t="n">
        <v>0</v>
      </c>
      <c r="Q3872" t="n">
        <v>0</v>
      </c>
      <c r="R3872" s="2" t="inlineStr"/>
    </row>
    <row r="3873" ht="15" customHeight="1">
      <c r="A3873" t="inlineStr">
        <is>
          <t>A 56153-2021</t>
        </is>
      </c>
      <c r="B3873" s="1" t="n">
        <v>44477</v>
      </c>
      <c r="C3873" s="1" t="n">
        <v>45210</v>
      </c>
      <c r="D3873" t="inlineStr">
        <is>
          <t>DALARNAS LÄN</t>
        </is>
      </c>
      <c r="E3873" t="inlineStr">
        <is>
          <t>LEKSAND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56305-2021</t>
        </is>
      </c>
      <c r="B3874" s="1" t="n">
        <v>44477</v>
      </c>
      <c r="C3874" s="1" t="n">
        <v>45210</v>
      </c>
      <c r="D3874" t="inlineStr">
        <is>
          <t>DALARNAS LÄN</t>
        </is>
      </c>
      <c r="E3874" t="inlineStr">
        <is>
          <t>SMEDJEBACKEN</t>
        </is>
      </c>
      <c r="F3874" t="inlineStr">
        <is>
          <t>Bergvik skog väst AB</t>
        </is>
      </c>
      <c r="G3874" t="n">
        <v>14.2</v>
      </c>
      <c r="H3874" t="n">
        <v>0</v>
      </c>
      <c r="I3874" t="n">
        <v>0</v>
      </c>
      <c r="J3874" t="n">
        <v>0</v>
      </c>
      <c r="K3874" t="n">
        <v>0</v>
      </c>
      <c r="L3874" t="n">
        <v>0</v>
      </c>
      <c r="M3874" t="n">
        <v>0</v>
      </c>
      <c r="N3874" t="n">
        <v>0</v>
      </c>
      <c r="O3874" t="n">
        <v>0</v>
      </c>
      <c r="P3874" t="n">
        <v>0</v>
      </c>
      <c r="Q3874" t="n">
        <v>0</v>
      </c>
      <c r="R3874" s="2" t="inlineStr"/>
    </row>
    <row r="3875" ht="15" customHeight="1">
      <c r="A3875" t="inlineStr">
        <is>
          <t>A 55971-2021</t>
        </is>
      </c>
      <c r="B3875" s="1" t="n">
        <v>44477</v>
      </c>
      <c r="C3875" s="1" t="n">
        <v>45210</v>
      </c>
      <c r="D3875" t="inlineStr">
        <is>
          <t>DALARNAS LÄN</t>
        </is>
      </c>
      <c r="E3875" t="inlineStr">
        <is>
          <t>MALUNG-SÄLEN</t>
        </is>
      </c>
      <c r="F3875" t="inlineStr">
        <is>
          <t>Bergvik skog öst AB</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56123-2021</t>
        </is>
      </c>
      <c r="B3876" s="1" t="n">
        <v>44477</v>
      </c>
      <c r="C3876" s="1" t="n">
        <v>45210</v>
      </c>
      <c r="D3876" t="inlineStr">
        <is>
          <t>DALARNAS LÄN</t>
        </is>
      </c>
      <c r="E3876" t="inlineStr">
        <is>
          <t>FALUN</t>
        </is>
      </c>
      <c r="F3876" t="inlineStr">
        <is>
          <t>Kyrkan</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56428-2021</t>
        </is>
      </c>
      <c r="B3877" s="1" t="n">
        <v>44480</v>
      </c>
      <c r="C3877" s="1" t="n">
        <v>45210</v>
      </c>
      <c r="D3877" t="inlineStr">
        <is>
          <t>DALARNAS LÄN</t>
        </is>
      </c>
      <c r="E3877" t="inlineStr">
        <is>
          <t>AVESTA</t>
        </is>
      </c>
      <c r="G3877" t="n">
        <v>3.8</v>
      </c>
      <c r="H3877" t="n">
        <v>0</v>
      </c>
      <c r="I3877" t="n">
        <v>0</v>
      </c>
      <c r="J3877" t="n">
        <v>0</v>
      </c>
      <c r="K3877" t="n">
        <v>0</v>
      </c>
      <c r="L3877" t="n">
        <v>0</v>
      </c>
      <c r="M3877" t="n">
        <v>0</v>
      </c>
      <c r="N3877" t="n">
        <v>0</v>
      </c>
      <c r="O3877" t="n">
        <v>0</v>
      </c>
      <c r="P3877" t="n">
        <v>0</v>
      </c>
      <c r="Q3877" t="n">
        <v>0</v>
      </c>
      <c r="R3877" s="2" t="inlineStr"/>
    </row>
    <row r="3878" ht="15" customHeight="1">
      <c r="A3878" t="inlineStr">
        <is>
          <t>A 56875-2021</t>
        </is>
      </c>
      <c r="B3878" s="1" t="n">
        <v>44481</v>
      </c>
      <c r="C3878" s="1" t="n">
        <v>45210</v>
      </c>
      <c r="D3878" t="inlineStr">
        <is>
          <t>DALARNAS LÄN</t>
        </is>
      </c>
      <c r="E3878" t="inlineStr">
        <is>
          <t>ÄLVDALEN</t>
        </is>
      </c>
      <c r="F3878" t="inlineStr">
        <is>
          <t>Övriga statliga verk och myndigheter</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56869-2021</t>
        </is>
      </c>
      <c r="B3879" s="1" t="n">
        <v>44481</v>
      </c>
      <c r="C3879" s="1" t="n">
        <v>45210</v>
      </c>
      <c r="D3879" t="inlineStr">
        <is>
          <t>DALARNAS LÄN</t>
        </is>
      </c>
      <c r="E3879" t="inlineStr">
        <is>
          <t>ÄLVDALEN</t>
        </is>
      </c>
      <c r="F3879" t="inlineStr">
        <is>
          <t>Övriga statliga verk och myndigheter</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57076-2021</t>
        </is>
      </c>
      <c r="B3880" s="1" t="n">
        <v>44482</v>
      </c>
      <c r="C3880" s="1" t="n">
        <v>45210</v>
      </c>
      <c r="D3880" t="inlineStr">
        <is>
          <t>DALARNAS LÄN</t>
        </is>
      </c>
      <c r="E3880" t="inlineStr">
        <is>
          <t>LUDVIKA</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57088-2021</t>
        </is>
      </c>
      <c r="B3881" s="1" t="n">
        <v>44482</v>
      </c>
      <c r="C3881" s="1" t="n">
        <v>45210</v>
      </c>
      <c r="D3881" t="inlineStr">
        <is>
          <t>DALARNAS LÄN</t>
        </is>
      </c>
      <c r="E3881" t="inlineStr">
        <is>
          <t>MORA</t>
        </is>
      </c>
      <c r="G3881" t="n">
        <v>2.2</v>
      </c>
      <c r="H3881" t="n">
        <v>0</v>
      </c>
      <c r="I3881" t="n">
        <v>0</v>
      </c>
      <c r="J3881" t="n">
        <v>0</v>
      </c>
      <c r="K3881" t="n">
        <v>0</v>
      </c>
      <c r="L3881" t="n">
        <v>0</v>
      </c>
      <c r="M3881" t="n">
        <v>0</v>
      </c>
      <c r="N3881" t="n">
        <v>0</v>
      </c>
      <c r="O3881" t="n">
        <v>0</v>
      </c>
      <c r="P3881" t="n">
        <v>0</v>
      </c>
      <c r="Q3881" t="n">
        <v>0</v>
      </c>
      <c r="R3881" s="2" t="inlineStr"/>
    </row>
    <row r="3882" ht="15" customHeight="1">
      <c r="A3882" t="inlineStr">
        <is>
          <t>A 57110-2021</t>
        </is>
      </c>
      <c r="B3882" s="1" t="n">
        <v>44482</v>
      </c>
      <c r="C3882" s="1" t="n">
        <v>45210</v>
      </c>
      <c r="D3882" t="inlineStr">
        <is>
          <t>DALARNAS LÄN</t>
        </is>
      </c>
      <c r="E3882" t="inlineStr">
        <is>
          <t>MORA</t>
        </is>
      </c>
      <c r="G3882" t="n">
        <v>5.4</v>
      </c>
      <c r="H3882" t="n">
        <v>0</v>
      </c>
      <c r="I3882" t="n">
        <v>0</v>
      </c>
      <c r="J3882" t="n">
        <v>0</v>
      </c>
      <c r="K3882" t="n">
        <v>0</v>
      </c>
      <c r="L3882" t="n">
        <v>0</v>
      </c>
      <c r="M3882" t="n">
        <v>0</v>
      </c>
      <c r="N3882" t="n">
        <v>0</v>
      </c>
      <c r="O3882" t="n">
        <v>0</v>
      </c>
      <c r="P3882" t="n">
        <v>0</v>
      </c>
      <c r="Q3882" t="n">
        <v>0</v>
      </c>
      <c r="R3882" s="2" t="inlineStr"/>
    </row>
    <row r="3883" ht="15" customHeight="1">
      <c r="A3883" t="inlineStr">
        <is>
          <t>A 57117-2021</t>
        </is>
      </c>
      <c r="B3883" s="1" t="n">
        <v>44482</v>
      </c>
      <c r="C3883" s="1" t="n">
        <v>45210</v>
      </c>
      <c r="D3883" t="inlineStr">
        <is>
          <t>DALARNAS LÄN</t>
        </is>
      </c>
      <c r="E3883" t="inlineStr">
        <is>
          <t>HEDEMORA</t>
        </is>
      </c>
      <c r="F3883" t="inlineStr">
        <is>
          <t>Bergvik skog väst AB</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56954-2021</t>
        </is>
      </c>
      <c r="B3884" s="1" t="n">
        <v>44482</v>
      </c>
      <c r="C3884" s="1" t="n">
        <v>45210</v>
      </c>
      <c r="D3884" t="inlineStr">
        <is>
          <t>DALARNAS LÄN</t>
        </is>
      </c>
      <c r="E3884" t="inlineStr">
        <is>
          <t>AVESTA</t>
        </is>
      </c>
      <c r="F3884" t="inlineStr">
        <is>
          <t>Sveaskog</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57260-2021</t>
        </is>
      </c>
      <c r="B3885" s="1" t="n">
        <v>44482</v>
      </c>
      <c r="C3885" s="1" t="n">
        <v>45210</v>
      </c>
      <c r="D3885" t="inlineStr">
        <is>
          <t>DALARNAS LÄN</t>
        </is>
      </c>
      <c r="E3885" t="inlineStr">
        <is>
          <t>SMEDJEBACKEN</t>
        </is>
      </c>
      <c r="F3885" t="inlineStr">
        <is>
          <t>Bergvik skog väst AB</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57091-2021</t>
        </is>
      </c>
      <c r="B3886" s="1" t="n">
        <v>44482</v>
      </c>
      <c r="C3886" s="1" t="n">
        <v>45210</v>
      </c>
      <c r="D3886" t="inlineStr">
        <is>
          <t>DALARNAS LÄN</t>
        </is>
      </c>
      <c r="E3886" t="inlineStr">
        <is>
          <t>MORA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57246-2021</t>
        </is>
      </c>
      <c r="B3887" s="1" t="n">
        <v>44482</v>
      </c>
      <c r="C3887" s="1" t="n">
        <v>45210</v>
      </c>
      <c r="D3887" t="inlineStr">
        <is>
          <t>DALARNAS LÄN</t>
        </is>
      </c>
      <c r="E3887" t="inlineStr">
        <is>
          <t>SMEDJEBACKEN</t>
        </is>
      </c>
      <c r="F3887" t="inlineStr">
        <is>
          <t>Bergvik skog väst AB</t>
        </is>
      </c>
      <c r="G3887" t="n">
        <v>10.2</v>
      </c>
      <c r="H3887" t="n">
        <v>0</v>
      </c>
      <c r="I3887" t="n">
        <v>0</v>
      </c>
      <c r="J3887" t="n">
        <v>0</v>
      </c>
      <c r="K3887" t="n">
        <v>0</v>
      </c>
      <c r="L3887" t="n">
        <v>0</v>
      </c>
      <c r="M3887" t="n">
        <v>0</v>
      </c>
      <c r="N3887" t="n">
        <v>0</v>
      </c>
      <c r="O3887" t="n">
        <v>0</v>
      </c>
      <c r="P3887" t="n">
        <v>0</v>
      </c>
      <c r="Q3887" t="n">
        <v>0</v>
      </c>
      <c r="R3887" s="2" t="inlineStr"/>
    </row>
    <row r="3888" ht="15" customHeight="1">
      <c r="A3888" t="inlineStr">
        <is>
          <t>A 57269-2021</t>
        </is>
      </c>
      <c r="B3888" s="1" t="n">
        <v>44482</v>
      </c>
      <c r="C3888" s="1" t="n">
        <v>45210</v>
      </c>
      <c r="D3888" t="inlineStr">
        <is>
          <t>DALARNAS LÄN</t>
        </is>
      </c>
      <c r="E3888" t="inlineStr">
        <is>
          <t>SMEDJEBACKEN</t>
        </is>
      </c>
      <c r="F3888" t="inlineStr">
        <is>
          <t>Bergvik skog väst AB</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57271-2021</t>
        </is>
      </c>
      <c r="B3889" s="1" t="n">
        <v>44483</v>
      </c>
      <c r="C3889" s="1" t="n">
        <v>45210</v>
      </c>
      <c r="D3889" t="inlineStr">
        <is>
          <t>DALARNAS LÄN</t>
        </is>
      </c>
      <c r="E3889" t="inlineStr">
        <is>
          <t>ORSA</t>
        </is>
      </c>
      <c r="G3889" t="n">
        <v>2.2</v>
      </c>
      <c r="H3889" t="n">
        <v>0</v>
      </c>
      <c r="I3889" t="n">
        <v>0</v>
      </c>
      <c r="J3889" t="n">
        <v>0</v>
      </c>
      <c r="K3889" t="n">
        <v>0</v>
      </c>
      <c r="L3889" t="n">
        <v>0</v>
      </c>
      <c r="M3889" t="n">
        <v>0</v>
      </c>
      <c r="N3889" t="n">
        <v>0</v>
      </c>
      <c r="O3889" t="n">
        <v>0</v>
      </c>
      <c r="P3889" t="n">
        <v>0</v>
      </c>
      <c r="Q3889" t="n">
        <v>0</v>
      </c>
      <c r="R3889" s="2" t="inlineStr"/>
    </row>
    <row r="3890" ht="15" customHeight="1">
      <c r="A3890" t="inlineStr">
        <is>
          <t>A 57608-2021</t>
        </is>
      </c>
      <c r="B3890" s="1" t="n">
        <v>44484</v>
      </c>
      <c r="C3890" s="1" t="n">
        <v>45210</v>
      </c>
      <c r="D3890" t="inlineStr">
        <is>
          <t>DALARNAS LÄN</t>
        </is>
      </c>
      <c r="E3890" t="inlineStr">
        <is>
          <t>MORA</t>
        </is>
      </c>
      <c r="G3890" t="n">
        <v>6.3</v>
      </c>
      <c r="H3890" t="n">
        <v>0</v>
      </c>
      <c r="I3890" t="n">
        <v>0</v>
      </c>
      <c r="J3890" t="n">
        <v>0</v>
      </c>
      <c r="K3890" t="n">
        <v>0</v>
      </c>
      <c r="L3890" t="n">
        <v>0</v>
      </c>
      <c r="M3890" t="n">
        <v>0</v>
      </c>
      <c r="N3890" t="n">
        <v>0</v>
      </c>
      <c r="O3890" t="n">
        <v>0</v>
      </c>
      <c r="P3890" t="n">
        <v>0</v>
      </c>
      <c r="Q3890" t="n">
        <v>0</v>
      </c>
      <c r="R3890" s="2" t="inlineStr"/>
    </row>
    <row r="3891" ht="15" customHeight="1">
      <c r="A3891" t="inlineStr">
        <is>
          <t>A 57834-2021</t>
        </is>
      </c>
      <c r="B3891" s="1" t="n">
        <v>44484</v>
      </c>
      <c r="C3891" s="1" t="n">
        <v>45210</v>
      </c>
      <c r="D3891" t="inlineStr">
        <is>
          <t>DALARNAS LÄN</t>
        </is>
      </c>
      <c r="E3891" t="inlineStr">
        <is>
          <t>RÄTTVIK</t>
        </is>
      </c>
      <c r="F3891" t="inlineStr">
        <is>
          <t>Sveaskog</t>
        </is>
      </c>
      <c r="G3891" t="n">
        <v>1.6</v>
      </c>
      <c r="H3891" t="n">
        <v>0</v>
      </c>
      <c r="I3891" t="n">
        <v>0</v>
      </c>
      <c r="J3891" t="n">
        <v>0</v>
      </c>
      <c r="K3891" t="n">
        <v>0</v>
      </c>
      <c r="L3891" t="n">
        <v>0</v>
      </c>
      <c r="M3891" t="n">
        <v>0</v>
      </c>
      <c r="N3891" t="n">
        <v>0</v>
      </c>
      <c r="O3891" t="n">
        <v>0</v>
      </c>
      <c r="P3891" t="n">
        <v>0</v>
      </c>
      <c r="Q3891" t="n">
        <v>0</v>
      </c>
      <c r="R3891" s="2" t="inlineStr"/>
    </row>
    <row r="3892" ht="15" customHeight="1">
      <c r="A3892" t="inlineStr">
        <is>
          <t>A 57783-2021</t>
        </is>
      </c>
      <c r="B3892" s="1" t="n">
        <v>44484</v>
      </c>
      <c r="C3892" s="1" t="n">
        <v>45210</v>
      </c>
      <c r="D3892" t="inlineStr">
        <is>
          <t>DALARNAS LÄN</t>
        </is>
      </c>
      <c r="E3892" t="inlineStr">
        <is>
          <t>ÄLVDALEN</t>
        </is>
      </c>
      <c r="G3892" t="n">
        <v>6.9</v>
      </c>
      <c r="H3892" t="n">
        <v>0</v>
      </c>
      <c r="I3892" t="n">
        <v>0</v>
      </c>
      <c r="J3892" t="n">
        <v>0</v>
      </c>
      <c r="K3892" t="n">
        <v>0</v>
      </c>
      <c r="L3892" t="n">
        <v>0</v>
      </c>
      <c r="M3892" t="n">
        <v>0</v>
      </c>
      <c r="N3892" t="n">
        <v>0</v>
      </c>
      <c r="O3892" t="n">
        <v>0</v>
      </c>
      <c r="P3892" t="n">
        <v>0</v>
      </c>
      <c r="Q3892" t="n">
        <v>0</v>
      </c>
      <c r="R3892" s="2" t="inlineStr"/>
    </row>
    <row r="3893" ht="15" customHeight="1">
      <c r="A3893" t="inlineStr">
        <is>
          <t>A 58057-2021</t>
        </is>
      </c>
      <c r="B3893" s="1" t="n">
        <v>44487</v>
      </c>
      <c r="C3893" s="1" t="n">
        <v>45210</v>
      </c>
      <c r="D3893" t="inlineStr">
        <is>
          <t>DALARNAS LÄN</t>
        </is>
      </c>
      <c r="E3893" t="inlineStr">
        <is>
          <t>MORA</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58237-2021</t>
        </is>
      </c>
      <c r="B3894" s="1" t="n">
        <v>44487</v>
      </c>
      <c r="C3894" s="1" t="n">
        <v>45210</v>
      </c>
      <c r="D3894" t="inlineStr">
        <is>
          <t>DALARNAS LÄN</t>
        </is>
      </c>
      <c r="E3894" t="inlineStr">
        <is>
          <t>BORLÄNGE</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58242-2021</t>
        </is>
      </c>
      <c r="B3895" s="1" t="n">
        <v>44487</v>
      </c>
      <c r="C3895" s="1" t="n">
        <v>45210</v>
      </c>
      <c r="D3895" t="inlineStr">
        <is>
          <t>DALARNAS LÄN</t>
        </is>
      </c>
      <c r="E3895" t="inlineStr">
        <is>
          <t>BORLÄNGE</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58314-2021</t>
        </is>
      </c>
      <c r="B3896" s="1" t="n">
        <v>44488</v>
      </c>
      <c r="C3896" s="1" t="n">
        <v>45210</v>
      </c>
      <c r="D3896" t="inlineStr">
        <is>
          <t>DALARNAS LÄN</t>
        </is>
      </c>
      <c r="E3896" t="inlineStr">
        <is>
          <t>RÄTTVIK</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58413-2021</t>
        </is>
      </c>
      <c r="B3897" s="1" t="n">
        <v>44488</v>
      </c>
      <c r="C3897" s="1" t="n">
        <v>45210</v>
      </c>
      <c r="D3897" t="inlineStr">
        <is>
          <t>DALARNAS LÄN</t>
        </is>
      </c>
      <c r="E3897" t="inlineStr">
        <is>
          <t>MORA</t>
        </is>
      </c>
      <c r="F3897" t="inlineStr">
        <is>
          <t>Bergvik skog öst AB</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58569-2021</t>
        </is>
      </c>
      <c r="B3898" s="1" t="n">
        <v>44488</v>
      </c>
      <c r="C3898" s="1" t="n">
        <v>45210</v>
      </c>
      <c r="D3898" t="inlineStr">
        <is>
          <t>DALARNAS LÄN</t>
        </is>
      </c>
      <c r="E3898" t="inlineStr">
        <is>
          <t>LEKSAND</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60150-2021</t>
        </is>
      </c>
      <c r="B3899" s="1" t="n">
        <v>44488</v>
      </c>
      <c r="C3899" s="1" t="n">
        <v>45210</v>
      </c>
      <c r="D3899" t="inlineStr">
        <is>
          <t>DALARNAS LÄN</t>
        </is>
      </c>
      <c r="E3899" t="inlineStr">
        <is>
          <t>MORA</t>
        </is>
      </c>
      <c r="G3899" t="n">
        <v>2.4</v>
      </c>
      <c r="H3899" t="n">
        <v>0</v>
      </c>
      <c r="I3899" t="n">
        <v>0</v>
      </c>
      <c r="J3899" t="n">
        <v>0</v>
      </c>
      <c r="K3899" t="n">
        <v>0</v>
      </c>
      <c r="L3899" t="n">
        <v>0</v>
      </c>
      <c r="M3899" t="n">
        <v>0</v>
      </c>
      <c r="N3899" t="n">
        <v>0</v>
      </c>
      <c r="O3899" t="n">
        <v>0</v>
      </c>
      <c r="P3899" t="n">
        <v>0</v>
      </c>
      <c r="Q3899" t="n">
        <v>0</v>
      </c>
      <c r="R3899" s="2" t="inlineStr"/>
    </row>
    <row r="3900" ht="15" customHeight="1">
      <c r="A3900" t="inlineStr">
        <is>
          <t>A 58556-2021</t>
        </is>
      </c>
      <c r="B3900" s="1" t="n">
        <v>44488</v>
      </c>
      <c r="C3900" s="1" t="n">
        <v>45210</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58747-2021</t>
        </is>
      </c>
      <c r="B3901" s="1" t="n">
        <v>44488</v>
      </c>
      <c r="C3901" s="1" t="n">
        <v>45210</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58690-2021</t>
        </is>
      </c>
      <c r="B3902" s="1" t="n">
        <v>44489</v>
      </c>
      <c r="C3902" s="1" t="n">
        <v>45210</v>
      </c>
      <c r="D3902" t="inlineStr">
        <is>
          <t>DALARNAS LÄN</t>
        </is>
      </c>
      <c r="E3902" t="inlineStr">
        <is>
          <t>MORA</t>
        </is>
      </c>
      <c r="F3902" t="inlineStr">
        <is>
          <t>Bergvik skog öst AB</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58999-2021</t>
        </is>
      </c>
      <c r="B3903" s="1" t="n">
        <v>44490</v>
      </c>
      <c r="C3903" s="1" t="n">
        <v>45210</v>
      </c>
      <c r="D3903" t="inlineStr">
        <is>
          <t>DALARNAS LÄN</t>
        </is>
      </c>
      <c r="E3903" t="inlineStr">
        <is>
          <t>VANSBRO</t>
        </is>
      </c>
      <c r="G3903" t="n">
        <v>2.5</v>
      </c>
      <c r="H3903" t="n">
        <v>0</v>
      </c>
      <c r="I3903" t="n">
        <v>0</v>
      </c>
      <c r="J3903" t="n">
        <v>0</v>
      </c>
      <c r="K3903" t="n">
        <v>0</v>
      </c>
      <c r="L3903" t="n">
        <v>0</v>
      </c>
      <c r="M3903" t="n">
        <v>0</v>
      </c>
      <c r="N3903" t="n">
        <v>0</v>
      </c>
      <c r="O3903" t="n">
        <v>0</v>
      </c>
      <c r="P3903" t="n">
        <v>0</v>
      </c>
      <c r="Q3903" t="n">
        <v>0</v>
      </c>
      <c r="R3903" s="2" t="inlineStr"/>
    </row>
    <row r="3904" ht="15" customHeight="1">
      <c r="A3904" t="inlineStr">
        <is>
          <t>A 59422-2021</t>
        </is>
      </c>
      <c r="B3904" s="1" t="n">
        <v>44491</v>
      </c>
      <c r="C3904" s="1" t="n">
        <v>45210</v>
      </c>
      <c r="D3904" t="inlineStr">
        <is>
          <t>DALARNAS LÄN</t>
        </is>
      </c>
      <c r="E3904" t="inlineStr">
        <is>
          <t>LEKSAND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59393-2021</t>
        </is>
      </c>
      <c r="B3905" s="1" t="n">
        <v>44491</v>
      </c>
      <c r="C3905" s="1" t="n">
        <v>45210</v>
      </c>
      <c r="D3905" t="inlineStr">
        <is>
          <t>DALARNAS LÄN</t>
        </is>
      </c>
      <c r="E3905" t="inlineStr">
        <is>
          <t>SÄTER</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59509-2021</t>
        </is>
      </c>
      <c r="B3906" s="1" t="n">
        <v>44491</v>
      </c>
      <c r="C3906" s="1" t="n">
        <v>45210</v>
      </c>
      <c r="D3906" t="inlineStr">
        <is>
          <t>DALARNAS LÄN</t>
        </is>
      </c>
      <c r="E3906" t="inlineStr">
        <is>
          <t>FALUN</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59633-2021</t>
        </is>
      </c>
      <c r="B3907" s="1" t="n">
        <v>44493</v>
      </c>
      <c r="C3907" s="1" t="n">
        <v>45210</v>
      </c>
      <c r="D3907" t="inlineStr">
        <is>
          <t>DALARNAS LÄN</t>
        </is>
      </c>
      <c r="E3907" t="inlineStr">
        <is>
          <t>BORLÄNGE</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59764-2021</t>
        </is>
      </c>
      <c r="B3908" s="1" t="n">
        <v>44494</v>
      </c>
      <c r="C3908" s="1" t="n">
        <v>45210</v>
      </c>
      <c r="D3908" t="inlineStr">
        <is>
          <t>DALARNAS LÄN</t>
        </is>
      </c>
      <c r="E3908" t="inlineStr">
        <is>
          <t>BORLÄNGE</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59772-2021</t>
        </is>
      </c>
      <c r="B3909" s="1" t="n">
        <v>44494</v>
      </c>
      <c r="C3909" s="1" t="n">
        <v>45210</v>
      </c>
      <c r="D3909" t="inlineStr">
        <is>
          <t>DALARNAS LÄN</t>
        </is>
      </c>
      <c r="E3909" t="inlineStr">
        <is>
          <t>BORLÄNGE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59868-2021</t>
        </is>
      </c>
      <c r="B3910" s="1" t="n">
        <v>44494</v>
      </c>
      <c r="C3910" s="1" t="n">
        <v>45210</v>
      </c>
      <c r="D3910" t="inlineStr">
        <is>
          <t>DALARNAS LÄN</t>
        </is>
      </c>
      <c r="E3910" t="inlineStr">
        <is>
          <t>ORSA</t>
        </is>
      </c>
      <c r="G3910" t="n">
        <v>4.3</v>
      </c>
      <c r="H3910" t="n">
        <v>0</v>
      </c>
      <c r="I3910" t="n">
        <v>0</v>
      </c>
      <c r="J3910" t="n">
        <v>0</v>
      </c>
      <c r="K3910" t="n">
        <v>0</v>
      </c>
      <c r="L3910" t="n">
        <v>0</v>
      </c>
      <c r="M3910" t="n">
        <v>0</v>
      </c>
      <c r="N3910" t="n">
        <v>0</v>
      </c>
      <c r="O3910" t="n">
        <v>0</v>
      </c>
      <c r="P3910" t="n">
        <v>0</v>
      </c>
      <c r="Q3910" t="n">
        <v>0</v>
      </c>
      <c r="R3910" s="2" t="inlineStr"/>
    </row>
    <row r="3911" ht="15" customHeight="1">
      <c r="A3911" t="inlineStr">
        <is>
          <t>A 59759-2021</t>
        </is>
      </c>
      <c r="B3911" s="1" t="n">
        <v>44494</v>
      </c>
      <c r="C3911" s="1" t="n">
        <v>45210</v>
      </c>
      <c r="D3911" t="inlineStr">
        <is>
          <t>DALARNAS LÄN</t>
        </is>
      </c>
      <c r="E3911" t="inlineStr">
        <is>
          <t>BORLÄNGE</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59893-2021</t>
        </is>
      </c>
      <c r="B3912" s="1" t="n">
        <v>44494</v>
      </c>
      <c r="C3912" s="1" t="n">
        <v>45210</v>
      </c>
      <c r="D3912" t="inlineStr">
        <is>
          <t>DALARNAS LÄN</t>
        </is>
      </c>
      <c r="E3912" t="inlineStr">
        <is>
          <t>GAGNEF</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59674-2021</t>
        </is>
      </c>
      <c r="B3913" s="1" t="n">
        <v>44494</v>
      </c>
      <c r="C3913" s="1" t="n">
        <v>45210</v>
      </c>
      <c r="D3913" t="inlineStr">
        <is>
          <t>DALARNAS LÄN</t>
        </is>
      </c>
      <c r="E3913" t="inlineStr">
        <is>
          <t>BORLÄNGE</t>
        </is>
      </c>
      <c r="G3913" t="n">
        <v>1</v>
      </c>
      <c r="H3913" t="n">
        <v>0</v>
      </c>
      <c r="I3913" t="n">
        <v>0</v>
      </c>
      <c r="J3913" t="n">
        <v>0</v>
      </c>
      <c r="K3913" t="n">
        <v>0</v>
      </c>
      <c r="L3913" t="n">
        <v>0</v>
      </c>
      <c r="M3913" t="n">
        <v>0</v>
      </c>
      <c r="N3913" t="n">
        <v>0</v>
      </c>
      <c r="O3913" t="n">
        <v>0</v>
      </c>
      <c r="P3913" t="n">
        <v>0</v>
      </c>
      <c r="Q3913" t="n">
        <v>0</v>
      </c>
      <c r="R3913" s="2" t="inlineStr"/>
      <c r="U3913">
        <f>HYPERLINK("https://klasma.github.io/Logging_2081/knärot/A 59674-2021.png", "A 59674-2021")</f>
        <v/>
      </c>
      <c r="V3913">
        <f>HYPERLINK("https://klasma.github.io/Logging_2081/klagomål/A 59674-2021.docx", "A 59674-2021")</f>
        <v/>
      </c>
      <c r="W3913">
        <f>HYPERLINK("https://klasma.github.io/Logging_2081/klagomålsmail/A 59674-2021.docx", "A 59674-2021")</f>
        <v/>
      </c>
      <c r="X3913">
        <f>HYPERLINK("https://klasma.github.io/Logging_2081/tillsyn/A 59674-2021.docx", "A 59674-2021")</f>
        <v/>
      </c>
      <c r="Y3913">
        <f>HYPERLINK("https://klasma.github.io/Logging_2081/tillsynsmail/A 59674-2021.docx", "A 59674-2021")</f>
        <v/>
      </c>
    </row>
    <row r="3914" ht="15" customHeight="1">
      <c r="A3914" t="inlineStr">
        <is>
          <t>A 60086-2021</t>
        </is>
      </c>
      <c r="B3914" s="1" t="n">
        <v>44494</v>
      </c>
      <c r="C3914" s="1" t="n">
        <v>45210</v>
      </c>
      <c r="D3914" t="inlineStr">
        <is>
          <t>DALARNAS LÄN</t>
        </is>
      </c>
      <c r="E3914" t="inlineStr">
        <is>
          <t>SMEDJEBACKEN</t>
        </is>
      </c>
      <c r="F3914" t="inlineStr">
        <is>
          <t>Bergvik skog väst AB</t>
        </is>
      </c>
      <c r="G3914" t="n">
        <v>2.3</v>
      </c>
      <c r="H3914" t="n">
        <v>0</v>
      </c>
      <c r="I3914" t="n">
        <v>0</v>
      </c>
      <c r="J3914" t="n">
        <v>0</v>
      </c>
      <c r="K3914" t="n">
        <v>0</v>
      </c>
      <c r="L3914" t="n">
        <v>0</v>
      </c>
      <c r="M3914" t="n">
        <v>0</v>
      </c>
      <c r="N3914" t="n">
        <v>0</v>
      </c>
      <c r="O3914" t="n">
        <v>0</v>
      </c>
      <c r="P3914" t="n">
        <v>0</v>
      </c>
      <c r="Q3914" t="n">
        <v>0</v>
      </c>
      <c r="R3914" s="2" t="inlineStr"/>
    </row>
    <row r="3915" ht="15" customHeight="1">
      <c r="A3915" t="inlineStr">
        <is>
          <t>A 60212-2021</t>
        </is>
      </c>
      <c r="B3915" s="1" t="n">
        <v>44495</v>
      </c>
      <c r="C3915" s="1" t="n">
        <v>45210</v>
      </c>
      <c r="D3915" t="inlineStr">
        <is>
          <t>DALARNAS LÄN</t>
        </is>
      </c>
      <c r="E3915" t="inlineStr">
        <is>
          <t>RÄTTVIK</t>
        </is>
      </c>
      <c r="F3915" t="inlineStr">
        <is>
          <t>Sveaskog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60258-2021</t>
        </is>
      </c>
      <c r="B3916" s="1" t="n">
        <v>44495</v>
      </c>
      <c r="C3916" s="1" t="n">
        <v>45210</v>
      </c>
      <c r="D3916" t="inlineStr">
        <is>
          <t>DALARNAS LÄN</t>
        </is>
      </c>
      <c r="E3916" t="inlineStr">
        <is>
          <t>ÄLVDALEN</t>
        </is>
      </c>
      <c r="G3916" t="n">
        <v>8.800000000000001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60210-2021</t>
        </is>
      </c>
      <c r="B3917" s="1" t="n">
        <v>44495</v>
      </c>
      <c r="C3917" s="1" t="n">
        <v>45210</v>
      </c>
      <c r="D3917" t="inlineStr">
        <is>
          <t>DALARNAS LÄN</t>
        </is>
      </c>
      <c r="E3917" t="inlineStr">
        <is>
          <t>RÄTTVIK</t>
        </is>
      </c>
      <c r="F3917" t="inlineStr">
        <is>
          <t>Sveaskog</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60230-2021</t>
        </is>
      </c>
      <c r="B3918" s="1" t="n">
        <v>44495</v>
      </c>
      <c r="C3918" s="1" t="n">
        <v>45210</v>
      </c>
      <c r="D3918" t="inlineStr">
        <is>
          <t>DALARNAS LÄN</t>
        </is>
      </c>
      <c r="E3918" t="inlineStr">
        <is>
          <t>MALUNG-SÄLEN</t>
        </is>
      </c>
      <c r="G3918" t="n">
        <v>4</v>
      </c>
      <c r="H3918" t="n">
        <v>0</v>
      </c>
      <c r="I3918" t="n">
        <v>0</v>
      </c>
      <c r="J3918" t="n">
        <v>0</v>
      </c>
      <c r="K3918" t="n">
        <v>0</v>
      </c>
      <c r="L3918" t="n">
        <v>0</v>
      </c>
      <c r="M3918" t="n">
        <v>0</v>
      </c>
      <c r="N3918" t="n">
        <v>0</v>
      </c>
      <c r="O3918" t="n">
        <v>0</v>
      </c>
      <c r="P3918" t="n">
        <v>0</v>
      </c>
      <c r="Q3918" t="n">
        <v>0</v>
      </c>
      <c r="R3918" s="2" t="inlineStr"/>
    </row>
    <row r="3919" ht="15" customHeight="1">
      <c r="A3919" t="inlineStr">
        <is>
          <t>A 60219-2021</t>
        </is>
      </c>
      <c r="B3919" s="1" t="n">
        <v>44495</v>
      </c>
      <c r="C3919" s="1" t="n">
        <v>45210</v>
      </c>
      <c r="D3919" t="inlineStr">
        <is>
          <t>DALARNAS LÄN</t>
        </is>
      </c>
      <c r="E3919" t="inlineStr">
        <is>
          <t>RÄTTVIK</t>
        </is>
      </c>
      <c r="F3919" t="inlineStr">
        <is>
          <t>Sveaskog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60342-2021</t>
        </is>
      </c>
      <c r="B3920" s="1" t="n">
        <v>44495</v>
      </c>
      <c r="C3920" s="1" t="n">
        <v>45210</v>
      </c>
      <c r="D3920" t="inlineStr">
        <is>
          <t>DALARNAS LÄN</t>
        </is>
      </c>
      <c r="E3920" t="inlineStr">
        <is>
          <t>BORLÄNGE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60418-2021</t>
        </is>
      </c>
      <c r="B3921" s="1" t="n">
        <v>44495</v>
      </c>
      <c r="C3921" s="1" t="n">
        <v>45210</v>
      </c>
      <c r="D3921" t="inlineStr">
        <is>
          <t>DALARNAS LÄN</t>
        </is>
      </c>
      <c r="E3921" t="inlineStr">
        <is>
          <t>HEDEMORA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60494-2021</t>
        </is>
      </c>
      <c r="B3922" s="1" t="n">
        <v>44496</v>
      </c>
      <c r="C3922" s="1" t="n">
        <v>45210</v>
      </c>
      <c r="D3922" t="inlineStr">
        <is>
          <t>DALARNAS LÄN</t>
        </is>
      </c>
      <c r="E3922" t="inlineStr">
        <is>
          <t>RÄTTVIK</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60886-2021</t>
        </is>
      </c>
      <c r="B3923" s="1" t="n">
        <v>44496</v>
      </c>
      <c r="C3923" s="1" t="n">
        <v>45210</v>
      </c>
      <c r="D3923" t="inlineStr">
        <is>
          <t>DALARNAS LÄN</t>
        </is>
      </c>
      <c r="E3923" t="inlineStr">
        <is>
          <t>SMEDJEBACKEN</t>
        </is>
      </c>
      <c r="G3923" t="n">
        <v>7</v>
      </c>
      <c r="H3923" t="n">
        <v>0</v>
      </c>
      <c r="I3923" t="n">
        <v>0</v>
      </c>
      <c r="J3923" t="n">
        <v>0</v>
      </c>
      <c r="K3923" t="n">
        <v>0</v>
      </c>
      <c r="L3923" t="n">
        <v>0</v>
      </c>
      <c r="M3923" t="n">
        <v>0</v>
      </c>
      <c r="N3923" t="n">
        <v>0</v>
      </c>
      <c r="O3923" t="n">
        <v>0</v>
      </c>
      <c r="P3923" t="n">
        <v>0</v>
      </c>
      <c r="Q3923" t="n">
        <v>0</v>
      </c>
      <c r="R3923" s="2" t="inlineStr"/>
    </row>
    <row r="3924" ht="15" customHeight="1">
      <c r="A3924" t="inlineStr">
        <is>
          <t>A 60910-2021</t>
        </is>
      </c>
      <c r="B3924" s="1" t="n">
        <v>44496</v>
      </c>
      <c r="C3924" s="1" t="n">
        <v>45210</v>
      </c>
      <c r="D3924" t="inlineStr">
        <is>
          <t>DALARNAS LÄN</t>
        </is>
      </c>
      <c r="E3924" t="inlineStr">
        <is>
          <t>SMEDJEBACKEN</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60927-2021</t>
        </is>
      </c>
      <c r="B3925" s="1" t="n">
        <v>44496</v>
      </c>
      <c r="C3925" s="1" t="n">
        <v>45210</v>
      </c>
      <c r="D3925" t="inlineStr">
        <is>
          <t>DALARNAS LÄN</t>
        </is>
      </c>
      <c r="E3925" t="inlineStr">
        <is>
          <t>SMEDJEBACKEN</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60580-2021</t>
        </is>
      </c>
      <c r="B3926" s="1" t="n">
        <v>44496</v>
      </c>
      <c r="C3926" s="1" t="n">
        <v>45210</v>
      </c>
      <c r="D3926" t="inlineStr">
        <is>
          <t>DALARNAS LÄN</t>
        </is>
      </c>
      <c r="E3926" t="inlineStr">
        <is>
          <t>BORLÄNGE</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60922-2021</t>
        </is>
      </c>
      <c r="B3927" s="1" t="n">
        <v>44496</v>
      </c>
      <c r="C3927" s="1" t="n">
        <v>45210</v>
      </c>
      <c r="D3927" t="inlineStr">
        <is>
          <t>DALARNAS LÄN</t>
        </is>
      </c>
      <c r="E3927" t="inlineStr">
        <is>
          <t>SMEDJEBACKEN</t>
        </is>
      </c>
      <c r="G3927" t="n">
        <v>3.6</v>
      </c>
      <c r="H3927" t="n">
        <v>0</v>
      </c>
      <c r="I3927" t="n">
        <v>0</v>
      </c>
      <c r="J3927" t="n">
        <v>0</v>
      </c>
      <c r="K3927" t="n">
        <v>0</v>
      </c>
      <c r="L3927" t="n">
        <v>0</v>
      </c>
      <c r="M3927" t="n">
        <v>0</v>
      </c>
      <c r="N3927" t="n">
        <v>0</v>
      </c>
      <c r="O3927" t="n">
        <v>0</v>
      </c>
      <c r="P3927" t="n">
        <v>0</v>
      </c>
      <c r="Q3927" t="n">
        <v>0</v>
      </c>
      <c r="R3927" s="2" t="inlineStr"/>
    </row>
    <row r="3928" ht="15" customHeight="1">
      <c r="A3928" t="inlineStr">
        <is>
          <t>A 60391-2021</t>
        </is>
      </c>
      <c r="B3928" s="1" t="n">
        <v>44496</v>
      </c>
      <c r="C3928" s="1" t="n">
        <v>45210</v>
      </c>
      <c r="D3928" t="inlineStr">
        <is>
          <t>DALARNAS LÄN</t>
        </is>
      </c>
      <c r="E3928" t="inlineStr">
        <is>
          <t>ORSA</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60697-2021</t>
        </is>
      </c>
      <c r="B3929" s="1" t="n">
        <v>44496</v>
      </c>
      <c r="C3929" s="1" t="n">
        <v>45210</v>
      </c>
      <c r="D3929" t="inlineStr">
        <is>
          <t>DALARNAS LÄN</t>
        </is>
      </c>
      <c r="E3929" t="inlineStr">
        <is>
          <t>SMEDJEBACKEN</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60912-2021</t>
        </is>
      </c>
      <c r="B3930" s="1" t="n">
        <v>44496</v>
      </c>
      <c r="C3930" s="1" t="n">
        <v>45210</v>
      </c>
      <c r="D3930" t="inlineStr">
        <is>
          <t>DALARNAS LÄN</t>
        </is>
      </c>
      <c r="E3930" t="inlineStr">
        <is>
          <t>SMEDJEBACKEN</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60905-2021</t>
        </is>
      </c>
      <c r="B3931" s="1" t="n">
        <v>44496</v>
      </c>
      <c r="C3931" s="1" t="n">
        <v>45210</v>
      </c>
      <c r="D3931" t="inlineStr">
        <is>
          <t>DALARNAS LÄN</t>
        </is>
      </c>
      <c r="E3931" t="inlineStr">
        <is>
          <t>SMEDJEBACKEN</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61005-2021</t>
        </is>
      </c>
      <c r="B3932" s="1" t="n">
        <v>44497</v>
      </c>
      <c r="C3932" s="1" t="n">
        <v>45210</v>
      </c>
      <c r="D3932" t="inlineStr">
        <is>
          <t>DALARNAS LÄN</t>
        </is>
      </c>
      <c r="E3932" t="inlineStr">
        <is>
          <t>ORSA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61035-2021</t>
        </is>
      </c>
      <c r="B3933" s="1" t="n">
        <v>44497</v>
      </c>
      <c r="C3933" s="1" t="n">
        <v>45210</v>
      </c>
      <c r="D3933" t="inlineStr">
        <is>
          <t>DALARNAS LÄN</t>
        </is>
      </c>
      <c r="E3933" t="inlineStr">
        <is>
          <t>FALUN</t>
        </is>
      </c>
      <c r="F3933" t="inlineStr">
        <is>
          <t>Kyrkan</t>
        </is>
      </c>
      <c r="G3933" t="n">
        <v>13.8</v>
      </c>
      <c r="H3933" t="n">
        <v>0</v>
      </c>
      <c r="I3933" t="n">
        <v>0</v>
      </c>
      <c r="J3933" t="n">
        <v>0</v>
      </c>
      <c r="K3933" t="n">
        <v>0</v>
      </c>
      <c r="L3933" t="n">
        <v>0</v>
      </c>
      <c r="M3933" t="n">
        <v>0</v>
      </c>
      <c r="N3933" t="n">
        <v>0</v>
      </c>
      <c r="O3933" t="n">
        <v>0</v>
      </c>
      <c r="P3933" t="n">
        <v>0</v>
      </c>
      <c r="Q3933" t="n">
        <v>0</v>
      </c>
      <c r="R3933" s="2" t="inlineStr"/>
    </row>
    <row r="3934" ht="15" customHeight="1">
      <c r="A3934" t="inlineStr">
        <is>
          <t>A 60847-2021</t>
        </is>
      </c>
      <c r="B3934" s="1" t="n">
        <v>44497</v>
      </c>
      <c r="C3934" s="1" t="n">
        <v>45210</v>
      </c>
      <c r="D3934" t="inlineStr">
        <is>
          <t>DALARNAS LÄN</t>
        </is>
      </c>
      <c r="E3934" t="inlineStr">
        <is>
          <t>MORA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60960-2021</t>
        </is>
      </c>
      <c r="B3935" s="1" t="n">
        <v>44497</v>
      </c>
      <c r="C3935" s="1" t="n">
        <v>45210</v>
      </c>
      <c r="D3935" t="inlineStr">
        <is>
          <t>DALARNAS LÄN</t>
        </is>
      </c>
      <c r="E3935" t="inlineStr">
        <is>
          <t>BORLÄNGE</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61000-2021</t>
        </is>
      </c>
      <c r="B3936" s="1" t="n">
        <v>44497</v>
      </c>
      <c r="C3936" s="1" t="n">
        <v>45210</v>
      </c>
      <c r="D3936" t="inlineStr">
        <is>
          <t>DALARNAS LÄN</t>
        </is>
      </c>
      <c r="E3936" t="inlineStr">
        <is>
          <t>ORSA</t>
        </is>
      </c>
      <c r="G3936" t="n">
        <v>4.4</v>
      </c>
      <c r="H3936" t="n">
        <v>0</v>
      </c>
      <c r="I3936" t="n">
        <v>0</v>
      </c>
      <c r="J3936" t="n">
        <v>0</v>
      </c>
      <c r="K3936" t="n">
        <v>0</v>
      </c>
      <c r="L3936" t="n">
        <v>0</v>
      </c>
      <c r="M3936" t="n">
        <v>0</v>
      </c>
      <c r="N3936" t="n">
        <v>0</v>
      </c>
      <c r="O3936" t="n">
        <v>0</v>
      </c>
      <c r="P3936" t="n">
        <v>0</v>
      </c>
      <c r="Q3936" t="n">
        <v>0</v>
      </c>
      <c r="R3936" s="2" t="inlineStr"/>
    </row>
    <row r="3937" ht="15" customHeight="1">
      <c r="A3937" t="inlineStr">
        <is>
          <t>A 61315-2021</t>
        </is>
      </c>
      <c r="B3937" s="1" t="n">
        <v>44498</v>
      </c>
      <c r="C3937" s="1" t="n">
        <v>45210</v>
      </c>
      <c r="D3937" t="inlineStr">
        <is>
          <t>DALARNAS LÄN</t>
        </is>
      </c>
      <c r="E3937" t="inlineStr">
        <is>
          <t>ÄLVDALEN</t>
        </is>
      </c>
      <c r="F3937" t="inlineStr">
        <is>
          <t>Sveaskog</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61396-2021</t>
        </is>
      </c>
      <c r="B3938" s="1" t="n">
        <v>44500</v>
      </c>
      <c r="C3938" s="1" t="n">
        <v>45210</v>
      </c>
      <c r="D3938" t="inlineStr">
        <is>
          <t>DALARNAS LÄN</t>
        </is>
      </c>
      <c r="E3938" t="inlineStr">
        <is>
          <t>BORLÄNGE</t>
        </is>
      </c>
      <c r="G3938" t="n">
        <v>2.7</v>
      </c>
      <c r="H3938" t="n">
        <v>0</v>
      </c>
      <c r="I3938" t="n">
        <v>0</v>
      </c>
      <c r="J3938" t="n">
        <v>0</v>
      </c>
      <c r="K3938" t="n">
        <v>0</v>
      </c>
      <c r="L3938" t="n">
        <v>0</v>
      </c>
      <c r="M3938" t="n">
        <v>0</v>
      </c>
      <c r="N3938" t="n">
        <v>0</v>
      </c>
      <c r="O3938" t="n">
        <v>0</v>
      </c>
      <c r="P3938" t="n">
        <v>0</v>
      </c>
      <c r="Q3938" t="n">
        <v>0</v>
      </c>
      <c r="R3938" s="2" t="inlineStr"/>
    </row>
    <row r="3939" ht="15" customHeight="1">
      <c r="A3939" t="inlineStr">
        <is>
          <t>A 61400-2021</t>
        </is>
      </c>
      <c r="B3939" s="1" t="n">
        <v>44500</v>
      </c>
      <c r="C3939" s="1" t="n">
        <v>45210</v>
      </c>
      <c r="D3939" t="inlineStr">
        <is>
          <t>DALARNAS LÄN</t>
        </is>
      </c>
      <c r="E3939" t="inlineStr">
        <is>
          <t>SÄTER</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61974-2021</t>
        </is>
      </c>
      <c r="B3940" s="1" t="n">
        <v>44501</v>
      </c>
      <c r="C3940" s="1" t="n">
        <v>45210</v>
      </c>
      <c r="D3940" t="inlineStr">
        <is>
          <t>DALARNAS LÄN</t>
        </is>
      </c>
      <c r="E3940" t="inlineStr">
        <is>
          <t>MALUNG-SÄLEN</t>
        </is>
      </c>
      <c r="F3940" t="inlineStr">
        <is>
          <t>Allmännings- och besparingsskogar</t>
        </is>
      </c>
      <c r="G3940" t="n">
        <v>12.5</v>
      </c>
      <c r="H3940" t="n">
        <v>0</v>
      </c>
      <c r="I3940" t="n">
        <v>0</v>
      </c>
      <c r="J3940" t="n">
        <v>0</v>
      </c>
      <c r="K3940" t="n">
        <v>0</v>
      </c>
      <c r="L3940" t="n">
        <v>0</v>
      </c>
      <c r="M3940" t="n">
        <v>0</v>
      </c>
      <c r="N3940" t="n">
        <v>0</v>
      </c>
      <c r="O3940" t="n">
        <v>0</v>
      </c>
      <c r="P3940" t="n">
        <v>0</v>
      </c>
      <c r="Q3940" t="n">
        <v>0</v>
      </c>
      <c r="R3940" s="2" t="inlineStr"/>
    </row>
    <row r="3941" ht="15" customHeight="1">
      <c r="A3941" t="inlineStr">
        <is>
          <t>A 61533-2021</t>
        </is>
      </c>
      <c r="B3941" s="1" t="n">
        <v>44501</v>
      </c>
      <c r="C3941" s="1" t="n">
        <v>45210</v>
      </c>
      <c r="D3941" t="inlineStr">
        <is>
          <t>DALARNAS LÄN</t>
        </is>
      </c>
      <c r="E3941" t="inlineStr">
        <is>
          <t>HEDEMORA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61546-2021</t>
        </is>
      </c>
      <c r="B3942" s="1" t="n">
        <v>44501</v>
      </c>
      <c r="C3942" s="1" t="n">
        <v>45210</v>
      </c>
      <c r="D3942" t="inlineStr">
        <is>
          <t>DALARNAS LÄN</t>
        </is>
      </c>
      <c r="E3942" t="inlineStr">
        <is>
          <t>LEKSAND</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61969-2021</t>
        </is>
      </c>
      <c r="B3943" s="1" t="n">
        <v>44501</v>
      </c>
      <c r="C3943" s="1" t="n">
        <v>45210</v>
      </c>
      <c r="D3943" t="inlineStr">
        <is>
          <t>DALARNAS LÄN</t>
        </is>
      </c>
      <c r="E3943" t="inlineStr">
        <is>
          <t>MALUNG-SÄLEN</t>
        </is>
      </c>
      <c r="F3943" t="inlineStr">
        <is>
          <t>Allmännings- och besparingsskogar</t>
        </is>
      </c>
      <c r="G3943" t="n">
        <v>16.5</v>
      </c>
      <c r="H3943" t="n">
        <v>0</v>
      </c>
      <c r="I3943" t="n">
        <v>0</v>
      </c>
      <c r="J3943" t="n">
        <v>0</v>
      </c>
      <c r="K3943" t="n">
        <v>0</v>
      </c>
      <c r="L3943" t="n">
        <v>0</v>
      </c>
      <c r="M3943" t="n">
        <v>0</v>
      </c>
      <c r="N3943" t="n">
        <v>0</v>
      </c>
      <c r="O3943" t="n">
        <v>0</v>
      </c>
      <c r="P3943" t="n">
        <v>0</v>
      </c>
      <c r="Q3943" t="n">
        <v>0</v>
      </c>
      <c r="R3943" s="2" t="inlineStr"/>
    </row>
    <row r="3944" ht="15" customHeight="1">
      <c r="A3944" t="inlineStr">
        <is>
          <t>A 61993-2021</t>
        </is>
      </c>
      <c r="B3944" s="1" t="n">
        <v>44501</v>
      </c>
      <c r="C3944" s="1" t="n">
        <v>45210</v>
      </c>
      <c r="D3944" t="inlineStr">
        <is>
          <t>DALARNAS LÄN</t>
        </is>
      </c>
      <c r="E3944" t="inlineStr">
        <is>
          <t>MALUNG-SÄLEN</t>
        </is>
      </c>
      <c r="F3944" t="inlineStr">
        <is>
          <t>Allmännings- och besparingsskogar</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61563-2021</t>
        </is>
      </c>
      <c r="B3945" s="1" t="n">
        <v>44501</v>
      </c>
      <c r="C3945" s="1" t="n">
        <v>45210</v>
      </c>
      <c r="D3945" t="inlineStr">
        <is>
          <t>DALARNAS LÄN</t>
        </is>
      </c>
      <c r="E3945" t="inlineStr">
        <is>
          <t>ÄLVDALEN</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61962-2021</t>
        </is>
      </c>
      <c r="B3946" s="1" t="n">
        <v>44501</v>
      </c>
      <c r="C3946" s="1" t="n">
        <v>45210</v>
      </c>
      <c r="D3946" t="inlineStr">
        <is>
          <t>DALARNAS LÄN</t>
        </is>
      </c>
      <c r="E3946" t="inlineStr">
        <is>
          <t>MALUNG-SÄLEN</t>
        </is>
      </c>
      <c r="F3946" t="inlineStr">
        <is>
          <t>Allmännings- och besparingsskogar</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61990-2021</t>
        </is>
      </c>
      <c r="B3947" s="1" t="n">
        <v>44501</v>
      </c>
      <c r="C3947" s="1" t="n">
        <v>45210</v>
      </c>
      <c r="D3947" t="inlineStr">
        <is>
          <t>DALARNAS LÄN</t>
        </is>
      </c>
      <c r="E3947" t="inlineStr">
        <is>
          <t>MALUNG-SÄLEN</t>
        </is>
      </c>
      <c r="F3947" t="inlineStr">
        <is>
          <t>Allmännings- och besparingsskogar</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61669-2021</t>
        </is>
      </c>
      <c r="B3948" s="1" t="n">
        <v>44501</v>
      </c>
      <c r="C3948" s="1" t="n">
        <v>45210</v>
      </c>
      <c r="D3948" t="inlineStr">
        <is>
          <t>DALARNAS LÄN</t>
        </is>
      </c>
      <c r="E3948" t="inlineStr">
        <is>
          <t>LEKSAND</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61978-2021</t>
        </is>
      </c>
      <c r="B3949" s="1" t="n">
        <v>44501</v>
      </c>
      <c r="C3949" s="1" t="n">
        <v>45210</v>
      </c>
      <c r="D3949" t="inlineStr">
        <is>
          <t>DALARNAS LÄN</t>
        </is>
      </c>
      <c r="E3949" t="inlineStr">
        <is>
          <t>MALUNG-SÄLEN</t>
        </is>
      </c>
      <c r="F3949" t="inlineStr">
        <is>
          <t>Allmännings- och besparingsskogar</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61934-2021</t>
        </is>
      </c>
      <c r="B3950" s="1" t="n">
        <v>44502</v>
      </c>
      <c r="C3950" s="1" t="n">
        <v>45210</v>
      </c>
      <c r="D3950" t="inlineStr">
        <is>
          <t>DALARNAS LÄN</t>
        </is>
      </c>
      <c r="E3950" t="inlineStr">
        <is>
          <t>SÄTER</t>
        </is>
      </c>
      <c r="F3950" t="inlineStr">
        <is>
          <t>Bergvik skog väst AB</t>
        </is>
      </c>
      <c r="G3950" t="n">
        <v>5.2</v>
      </c>
      <c r="H3950" t="n">
        <v>0</v>
      </c>
      <c r="I3950" t="n">
        <v>0</v>
      </c>
      <c r="J3950" t="n">
        <v>0</v>
      </c>
      <c r="K3950" t="n">
        <v>0</v>
      </c>
      <c r="L3950" t="n">
        <v>0</v>
      </c>
      <c r="M3950" t="n">
        <v>0</v>
      </c>
      <c r="N3950" t="n">
        <v>0</v>
      </c>
      <c r="O3950" t="n">
        <v>0</v>
      </c>
      <c r="P3950" t="n">
        <v>0</v>
      </c>
      <c r="Q3950" t="n">
        <v>0</v>
      </c>
      <c r="R3950" s="2" t="inlineStr"/>
    </row>
    <row r="3951" ht="15" customHeight="1">
      <c r="A3951" t="inlineStr">
        <is>
          <t>A 61972-2021</t>
        </is>
      </c>
      <c r="B3951" s="1" t="n">
        <v>44502</v>
      </c>
      <c r="C3951" s="1" t="n">
        <v>45210</v>
      </c>
      <c r="D3951" t="inlineStr">
        <is>
          <t>DALARNAS LÄN</t>
        </is>
      </c>
      <c r="E3951" t="inlineStr">
        <is>
          <t>FALUN</t>
        </is>
      </c>
      <c r="F3951" t="inlineStr">
        <is>
          <t>Allmännings- och besparingsskogar</t>
        </is>
      </c>
      <c r="G3951" t="n">
        <v>10</v>
      </c>
      <c r="H3951" t="n">
        <v>0</v>
      </c>
      <c r="I3951" t="n">
        <v>0</v>
      </c>
      <c r="J3951" t="n">
        <v>0</v>
      </c>
      <c r="K3951" t="n">
        <v>0</v>
      </c>
      <c r="L3951" t="n">
        <v>0</v>
      </c>
      <c r="M3951" t="n">
        <v>0</v>
      </c>
      <c r="N3951" t="n">
        <v>0</v>
      </c>
      <c r="O3951" t="n">
        <v>0</v>
      </c>
      <c r="P3951" t="n">
        <v>0</v>
      </c>
      <c r="Q3951" t="n">
        <v>0</v>
      </c>
      <c r="R3951" s="2" t="inlineStr"/>
    </row>
    <row r="3952" ht="15" customHeight="1">
      <c r="A3952" t="inlineStr">
        <is>
          <t>A 62305-2021</t>
        </is>
      </c>
      <c r="B3952" s="1" t="n">
        <v>44502</v>
      </c>
      <c r="C3952" s="1" t="n">
        <v>45210</v>
      </c>
      <c r="D3952" t="inlineStr">
        <is>
          <t>DALARNAS LÄN</t>
        </is>
      </c>
      <c r="E3952" t="inlineStr">
        <is>
          <t>HEDEMORA</t>
        </is>
      </c>
      <c r="F3952" t="inlineStr">
        <is>
          <t>Bergvik skog väst AB</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62279-2021</t>
        </is>
      </c>
      <c r="B3953" s="1" t="n">
        <v>44503</v>
      </c>
      <c r="C3953" s="1" t="n">
        <v>45210</v>
      </c>
      <c r="D3953" t="inlineStr">
        <is>
          <t>DALARNAS LÄN</t>
        </is>
      </c>
      <c r="E3953" t="inlineStr">
        <is>
          <t>LEKSAND</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62389-2021</t>
        </is>
      </c>
      <c r="B3954" s="1" t="n">
        <v>44503</v>
      </c>
      <c r="C3954" s="1" t="n">
        <v>45210</v>
      </c>
      <c r="D3954" t="inlineStr">
        <is>
          <t>DALARNAS LÄN</t>
        </is>
      </c>
      <c r="E3954" t="inlineStr">
        <is>
          <t>SÄTER</t>
        </is>
      </c>
      <c r="F3954" t="inlineStr">
        <is>
          <t>Bergvik skog väst AB</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62745-2021</t>
        </is>
      </c>
      <c r="B3955" s="1" t="n">
        <v>44503</v>
      </c>
      <c r="C3955" s="1" t="n">
        <v>45210</v>
      </c>
      <c r="D3955" t="inlineStr">
        <is>
          <t>DALARNAS LÄN</t>
        </is>
      </c>
      <c r="E3955" t="inlineStr">
        <is>
          <t>RÄTTVIK</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62380-2021</t>
        </is>
      </c>
      <c r="B3956" s="1" t="n">
        <v>44503</v>
      </c>
      <c r="C3956" s="1" t="n">
        <v>45210</v>
      </c>
      <c r="D3956" t="inlineStr">
        <is>
          <t>DALARNAS LÄN</t>
        </is>
      </c>
      <c r="E3956" t="inlineStr">
        <is>
          <t>SMEDJEBACKEN</t>
        </is>
      </c>
      <c r="G3956" t="n">
        <v>10.4</v>
      </c>
      <c r="H3956" t="n">
        <v>0</v>
      </c>
      <c r="I3956" t="n">
        <v>0</v>
      </c>
      <c r="J3956" t="n">
        <v>0</v>
      </c>
      <c r="K3956" t="n">
        <v>0</v>
      </c>
      <c r="L3956" t="n">
        <v>0</v>
      </c>
      <c r="M3956" t="n">
        <v>0</v>
      </c>
      <c r="N3956" t="n">
        <v>0</v>
      </c>
      <c r="O3956" t="n">
        <v>0</v>
      </c>
      <c r="P3956" t="n">
        <v>0</v>
      </c>
      <c r="Q3956" t="n">
        <v>0</v>
      </c>
      <c r="R3956" s="2" t="inlineStr"/>
    </row>
    <row r="3957" ht="15" customHeight="1">
      <c r="A3957" t="inlineStr">
        <is>
          <t>A 62253-2021</t>
        </is>
      </c>
      <c r="B3957" s="1" t="n">
        <v>44503</v>
      </c>
      <c r="C3957" s="1" t="n">
        <v>45210</v>
      </c>
      <c r="D3957" t="inlineStr">
        <is>
          <t>DALARNAS LÄN</t>
        </is>
      </c>
      <c r="E3957" t="inlineStr">
        <is>
          <t>MALUNG-SÄLEN</t>
        </is>
      </c>
      <c r="G3957" t="n">
        <v>2.7</v>
      </c>
      <c r="H3957" t="n">
        <v>0</v>
      </c>
      <c r="I3957" t="n">
        <v>0</v>
      </c>
      <c r="J3957" t="n">
        <v>0</v>
      </c>
      <c r="K3957" t="n">
        <v>0</v>
      </c>
      <c r="L3957" t="n">
        <v>0</v>
      </c>
      <c r="M3957" t="n">
        <v>0</v>
      </c>
      <c r="N3957" t="n">
        <v>0</v>
      </c>
      <c r="O3957" t="n">
        <v>0</v>
      </c>
      <c r="P3957" t="n">
        <v>0</v>
      </c>
      <c r="Q3957" t="n">
        <v>0</v>
      </c>
      <c r="R3957" s="2" t="inlineStr"/>
    </row>
    <row r="3958" ht="15" customHeight="1">
      <c r="A3958" t="inlineStr">
        <is>
          <t>A 62398-2021</t>
        </is>
      </c>
      <c r="B3958" s="1" t="n">
        <v>44503</v>
      </c>
      <c r="C3958" s="1" t="n">
        <v>45210</v>
      </c>
      <c r="D3958" t="inlineStr">
        <is>
          <t>DALARNAS LÄN</t>
        </is>
      </c>
      <c r="E3958" t="inlineStr">
        <is>
          <t>VANSBRO</t>
        </is>
      </c>
      <c r="F3958" t="inlineStr">
        <is>
          <t>Bergvik skog öst AB</t>
        </is>
      </c>
      <c r="G3958" t="n">
        <v>22.1</v>
      </c>
      <c r="H3958" t="n">
        <v>0</v>
      </c>
      <c r="I3958" t="n">
        <v>0</v>
      </c>
      <c r="J3958" t="n">
        <v>0</v>
      </c>
      <c r="K3958" t="n">
        <v>0</v>
      </c>
      <c r="L3958" t="n">
        <v>0</v>
      </c>
      <c r="M3958" t="n">
        <v>0</v>
      </c>
      <c r="N3958" t="n">
        <v>0</v>
      </c>
      <c r="O3958" t="n">
        <v>0</v>
      </c>
      <c r="P3958" t="n">
        <v>0</v>
      </c>
      <c r="Q3958" t="n">
        <v>0</v>
      </c>
      <c r="R3958" s="2" t="inlineStr"/>
    </row>
    <row r="3959" ht="15" customHeight="1">
      <c r="A3959" t="inlineStr">
        <is>
          <t>A 63114-2021</t>
        </is>
      </c>
      <c r="B3959" s="1" t="n">
        <v>44505</v>
      </c>
      <c r="C3959" s="1" t="n">
        <v>45210</v>
      </c>
      <c r="D3959" t="inlineStr">
        <is>
          <t>DALARNAS LÄN</t>
        </is>
      </c>
      <c r="E3959" t="inlineStr">
        <is>
          <t>ÄLVDALEN</t>
        </is>
      </c>
      <c r="F3959" t="inlineStr">
        <is>
          <t>Bergvik skog väst AB</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62976-2021</t>
        </is>
      </c>
      <c r="B3960" s="1" t="n">
        <v>44505</v>
      </c>
      <c r="C3960" s="1" t="n">
        <v>45210</v>
      </c>
      <c r="D3960" t="inlineStr">
        <is>
          <t>DALARNAS LÄN</t>
        </is>
      </c>
      <c r="E3960" t="inlineStr">
        <is>
          <t>BORLÄNGE</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63000-2021</t>
        </is>
      </c>
      <c r="B3961" s="1" t="n">
        <v>44505</v>
      </c>
      <c r="C3961" s="1" t="n">
        <v>45210</v>
      </c>
      <c r="D3961" t="inlineStr">
        <is>
          <t>DALARNAS LÄN</t>
        </is>
      </c>
      <c r="E3961" t="inlineStr">
        <is>
          <t>MORA</t>
        </is>
      </c>
      <c r="F3961" t="inlineStr">
        <is>
          <t>Bergvik skog väst AB</t>
        </is>
      </c>
      <c r="G3961" t="n">
        <v>7.3</v>
      </c>
      <c r="H3961" t="n">
        <v>0</v>
      </c>
      <c r="I3961" t="n">
        <v>0</v>
      </c>
      <c r="J3961" t="n">
        <v>0</v>
      </c>
      <c r="K3961" t="n">
        <v>0</v>
      </c>
      <c r="L3961" t="n">
        <v>0</v>
      </c>
      <c r="M3961" t="n">
        <v>0</v>
      </c>
      <c r="N3961" t="n">
        <v>0</v>
      </c>
      <c r="O3961" t="n">
        <v>0</v>
      </c>
      <c r="P3961" t="n">
        <v>0</v>
      </c>
      <c r="Q3961" t="n">
        <v>0</v>
      </c>
      <c r="R3961" s="2" t="inlineStr"/>
    </row>
    <row r="3962" ht="15" customHeight="1">
      <c r="A3962" t="inlineStr">
        <is>
          <t>A 63270-2021</t>
        </is>
      </c>
      <c r="B3962" s="1" t="n">
        <v>44508</v>
      </c>
      <c r="C3962" s="1" t="n">
        <v>45210</v>
      </c>
      <c r="D3962" t="inlineStr">
        <is>
          <t>DALARNAS LÄN</t>
        </is>
      </c>
      <c r="E3962" t="inlineStr">
        <is>
          <t>MALUNG-SÄLEN</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63552-2021</t>
        </is>
      </c>
      <c r="B3963" s="1" t="n">
        <v>44508</v>
      </c>
      <c r="C3963" s="1" t="n">
        <v>45210</v>
      </c>
      <c r="D3963" t="inlineStr">
        <is>
          <t>DALARNAS LÄN</t>
        </is>
      </c>
      <c r="E3963" t="inlineStr">
        <is>
          <t>MORA</t>
        </is>
      </c>
      <c r="F3963" t="inlineStr">
        <is>
          <t>Bergvik skog väst AB</t>
        </is>
      </c>
      <c r="G3963" t="n">
        <v>17.1</v>
      </c>
      <c r="H3963" t="n">
        <v>0</v>
      </c>
      <c r="I3963" t="n">
        <v>0</v>
      </c>
      <c r="J3963" t="n">
        <v>0</v>
      </c>
      <c r="K3963" t="n">
        <v>0</v>
      </c>
      <c r="L3963" t="n">
        <v>0</v>
      </c>
      <c r="M3963" t="n">
        <v>0</v>
      </c>
      <c r="N3963" t="n">
        <v>0</v>
      </c>
      <c r="O3963" t="n">
        <v>0</v>
      </c>
      <c r="P3963" t="n">
        <v>0</v>
      </c>
      <c r="Q3963" t="n">
        <v>0</v>
      </c>
      <c r="R3963" s="2" t="inlineStr"/>
    </row>
    <row r="3964" ht="15" customHeight="1">
      <c r="A3964" t="inlineStr">
        <is>
          <t>A 63511-2021</t>
        </is>
      </c>
      <c r="B3964" s="1" t="n">
        <v>44508</v>
      </c>
      <c r="C3964" s="1" t="n">
        <v>45210</v>
      </c>
      <c r="D3964" t="inlineStr">
        <is>
          <t>DALARNAS LÄN</t>
        </is>
      </c>
      <c r="E3964" t="inlineStr">
        <is>
          <t>SMEDJEBACKEN</t>
        </is>
      </c>
      <c r="F3964" t="inlineStr">
        <is>
          <t>Sveaskog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63267-2021</t>
        </is>
      </c>
      <c r="B3965" s="1" t="n">
        <v>44508</v>
      </c>
      <c r="C3965" s="1" t="n">
        <v>45210</v>
      </c>
      <c r="D3965" t="inlineStr">
        <is>
          <t>DALARNAS LÄN</t>
        </is>
      </c>
      <c r="E3965" t="inlineStr">
        <is>
          <t>LUDVIKA</t>
        </is>
      </c>
      <c r="F3965" t="inlineStr">
        <is>
          <t>Bergvik skog väst AB</t>
        </is>
      </c>
      <c r="G3965" t="n">
        <v>0.2</v>
      </c>
      <c r="H3965" t="n">
        <v>0</v>
      </c>
      <c r="I3965" t="n">
        <v>0</v>
      </c>
      <c r="J3965" t="n">
        <v>0</v>
      </c>
      <c r="K3965" t="n">
        <v>0</v>
      </c>
      <c r="L3965" t="n">
        <v>0</v>
      </c>
      <c r="M3965" t="n">
        <v>0</v>
      </c>
      <c r="N3965" t="n">
        <v>0</v>
      </c>
      <c r="O3965" t="n">
        <v>0</v>
      </c>
      <c r="P3965" t="n">
        <v>0</v>
      </c>
      <c r="Q3965" t="n">
        <v>0</v>
      </c>
      <c r="R3965" s="2" t="inlineStr"/>
    </row>
    <row r="3966" ht="15" customHeight="1">
      <c r="A3966" t="inlineStr">
        <is>
          <t>A 63325-2021</t>
        </is>
      </c>
      <c r="B3966" s="1" t="n">
        <v>44508</v>
      </c>
      <c r="C3966" s="1" t="n">
        <v>45210</v>
      </c>
      <c r="D3966" t="inlineStr">
        <is>
          <t>DALARNAS LÄN</t>
        </is>
      </c>
      <c r="E3966" t="inlineStr">
        <is>
          <t>ÄLVDALEN</t>
        </is>
      </c>
      <c r="F3966" t="inlineStr">
        <is>
          <t>Övriga Aktiebolag</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63519-2021</t>
        </is>
      </c>
      <c r="B3967" s="1" t="n">
        <v>44508</v>
      </c>
      <c r="C3967" s="1" t="n">
        <v>45210</v>
      </c>
      <c r="D3967" t="inlineStr">
        <is>
          <t>DALARNAS LÄN</t>
        </is>
      </c>
      <c r="E3967" t="inlineStr">
        <is>
          <t>AVESTA</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63510-2021</t>
        </is>
      </c>
      <c r="B3968" s="1" t="n">
        <v>44508</v>
      </c>
      <c r="C3968" s="1" t="n">
        <v>45210</v>
      </c>
      <c r="D3968" t="inlineStr">
        <is>
          <t>DALARNAS LÄN</t>
        </is>
      </c>
      <c r="E3968" t="inlineStr">
        <is>
          <t>SMEDJEBACKEN</t>
        </is>
      </c>
      <c r="F3968" t="inlineStr">
        <is>
          <t>Sveaskog</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63804-2021</t>
        </is>
      </c>
      <c r="B3969" s="1" t="n">
        <v>44508</v>
      </c>
      <c r="C3969" s="1" t="n">
        <v>45210</v>
      </c>
      <c r="D3969" t="inlineStr">
        <is>
          <t>DALARNAS LÄN</t>
        </is>
      </c>
      <c r="E3969" t="inlineStr">
        <is>
          <t>MORA</t>
        </is>
      </c>
      <c r="G3969" t="n">
        <v>8</v>
      </c>
      <c r="H3969" t="n">
        <v>0</v>
      </c>
      <c r="I3969" t="n">
        <v>0</v>
      </c>
      <c r="J3969" t="n">
        <v>0</v>
      </c>
      <c r="K3969" t="n">
        <v>0</v>
      </c>
      <c r="L3969" t="n">
        <v>0</v>
      </c>
      <c r="M3969" t="n">
        <v>0</v>
      </c>
      <c r="N3969" t="n">
        <v>0</v>
      </c>
      <c r="O3969" t="n">
        <v>0</v>
      </c>
      <c r="P3969" t="n">
        <v>0</v>
      </c>
      <c r="Q3969" t="n">
        <v>0</v>
      </c>
      <c r="R3969" s="2" t="inlineStr"/>
    </row>
    <row r="3970" ht="15" customHeight="1">
      <c r="A3970" t="inlineStr">
        <is>
          <t>A 63743-2021</t>
        </is>
      </c>
      <c r="B3970" s="1" t="n">
        <v>44509</v>
      </c>
      <c r="C3970" s="1" t="n">
        <v>45210</v>
      </c>
      <c r="D3970" t="inlineStr">
        <is>
          <t>DALARNAS LÄN</t>
        </is>
      </c>
      <c r="E3970" t="inlineStr">
        <is>
          <t>FALUN</t>
        </is>
      </c>
      <c r="F3970" t="inlineStr">
        <is>
          <t>Bergvik skog väst AB</t>
        </is>
      </c>
      <c r="G3970" t="n">
        <v>4</v>
      </c>
      <c r="H3970" t="n">
        <v>0</v>
      </c>
      <c r="I3970" t="n">
        <v>0</v>
      </c>
      <c r="J3970" t="n">
        <v>0</v>
      </c>
      <c r="K3970" t="n">
        <v>0</v>
      </c>
      <c r="L3970" t="n">
        <v>0</v>
      </c>
      <c r="M3970" t="n">
        <v>0</v>
      </c>
      <c r="N3970" t="n">
        <v>0</v>
      </c>
      <c r="O3970" t="n">
        <v>0</v>
      </c>
      <c r="P3970" t="n">
        <v>0</v>
      </c>
      <c r="Q3970" t="n">
        <v>0</v>
      </c>
      <c r="R3970" s="2" t="inlineStr"/>
    </row>
    <row r="3971" ht="15" customHeight="1">
      <c r="A3971" t="inlineStr">
        <is>
          <t>A 63947-2021</t>
        </is>
      </c>
      <c r="B3971" s="1" t="n">
        <v>44509</v>
      </c>
      <c r="C3971" s="1" t="n">
        <v>45210</v>
      </c>
      <c r="D3971" t="inlineStr">
        <is>
          <t>DALARNAS LÄN</t>
        </is>
      </c>
      <c r="E3971" t="inlineStr">
        <is>
          <t>GAGNEF</t>
        </is>
      </c>
      <c r="G3971" t="n">
        <v>8.300000000000001</v>
      </c>
      <c r="H3971" t="n">
        <v>0</v>
      </c>
      <c r="I3971" t="n">
        <v>0</v>
      </c>
      <c r="J3971" t="n">
        <v>0</v>
      </c>
      <c r="K3971" t="n">
        <v>0</v>
      </c>
      <c r="L3971" t="n">
        <v>0</v>
      </c>
      <c r="M3971" t="n">
        <v>0</v>
      </c>
      <c r="N3971" t="n">
        <v>0</v>
      </c>
      <c r="O3971" t="n">
        <v>0</v>
      </c>
      <c r="P3971" t="n">
        <v>0</v>
      </c>
      <c r="Q3971" t="n">
        <v>0</v>
      </c>
      <c r="R3971" s="2" t="inlineStr"/>
    </row>
    <row r="3972" ht="15" customHeight="1">
      <c r="A3972" t="inlineStr">
        <is>
          <t>A 63816-2021</t>
        </is>
      </c>
      <c r="B3972" s="1" t="n">
        <v>44509</v>
      </c>
      <c r="C3972" s="1" t="n">
        <v>45210</v>
      </c>
      <c r="D3972" t="inlineStr">
        <is>
          <t>DALARNAS LÄN</t>
        </is>
      </c>
      <c r="E3972" t="inlineStr">
        <is>
          <t>VANSBRO</t>
        </is>
      </c>
      <c r="F3972" t="inlineStr">
        <is>
          <t>Bergvik skog väst AB</t>
        </is>
      </c>
      <c r="G3972" t="n">
        <v>17.6</v>
      </c>
      <c r="H3972" t="n">
        <v>0</v>
      </c>
      <c r="I3972" t="n">
        <v>0</v>
      </c>
      <c r="J3972" t="n">
        <v>0</v>
      </c>
      <c r="K3972" t="n">
        <v>0</v>
      </c>
      <c r="L3972" t="n">
        <v>0</v>
      </c>
      <c r="M3972" t="n">
        <v>0</v>
      </c>
      <c r="N3972" t="n">
        <v>0</v>
      </c>
      <c r="O3972" t="n">
        <v>0</v>
      </c>
      <c r="P3972" t="n">
        <v>0</v>
      </c>
      <c r="Q3972" t="n">
        <v>0</v>
      </c>
      <c r="R3972" s="2" t="inlineStr"/>
    </row>
    <row r="3973" ht="15" customHeight="1">
      <c r="A3973" t="inlineStr">
        <is>
          <t>A 63902-2021</t>
        </is>
      </c>
      <c r="B3973" s="1" t="n">
        <v>44509</v>
      </c>
      <c r="C3973" s="1" t="n">
        <v>45210</v>
      </c>
      <c r="D3973" t="inlineStr">
        <is>
          <t>DALARNAS LÄN</t>
        </is>
      </c>
      <c r="E3973" t="inlineStr">
        <is>
          <t>VANSBRO</t>
        </is>
      </c>
      <c r="F3973" t="inlineStr">
        <is>
          <t>Bergvik skog väst AB</t>
        </is>
      </c>
      <c r="G3973" t="n">
        <v>2.6</v>
      </c>
      <c r="H3973" t="n">
        <v>0</v>
      </c>
      <c r="I3973" t="n">
        <v>0</v>
      </c>
      <c r="J3973" t="n">
        <v>0</v>
      </c>
      <c r="K3973" t="n">
        <v>0</v>
      </c>
      <c r="L3973" t="n">
        <v>0</v>
      </c>
      <c r="M3973" t="n">
        <v>0</v>
      </c>
      <c r="N3973" t="n">
        <v>0</v>
      </c>
      <c r="O3973" t="n">
        <v>0</v>
      </c>
      <c r="P3973" t="n">
        <v>0</v>
      </c>
      <c r="Q3973" t="n">
        <v>0</v>
      </c>
      <c r="R3973" s="2" t="inlineStr"/>
    </row>
    <row r="3974" ht="15" customHeight="1">
      <c r="A3974" t="inlineStr">
        <is>
          <t>A 64028-2021</t>
        </is>
      </c>
      <c r="B3974" s="1" t="n">
        <v>44510</v>
      </c>
      <c r="C3974" s="1" t="n">
        <v>45210</v>
      </c>
      <c r="D3974" t="inlineStr">
        <is>
          <t>DALARNAS LÄN</t>
        </is>
      </c>
      <c r="E3974" t="inlineStr">
        <is>
          <t>VANSBRO</t>
        </is>
      </c>
      <c r="G3974" t="n">
        <v>6</v>
      </c>
      <c r="H3974" t="n">
        <v>0</v>
      </c>
      <c r="I3974" t="n">
        <v>0</v>
      </c>
      <c r="J3974" t="n">
        <v>0</v>
      </c>
      <c r="K3974" t="n">
        <v>0</v>
      </c>
      <c r="L3974" t="n">
        <v>0</v>
      </c>
      <c r="M3974" t="n">
        <v>0</v>
      </c>
      <c r="N3974" t="n">
        <v>0</v>
      </c>
      <c r="O3974" t="n">
        <v>0</v>
      </c>
      <c r="P3974" t="n">
        <v>0</v>
      </c>
      <c r="Q3974" t="n">
        <v>0</v>
      </c>
      <c r="R3974" s="2" t="inlineStr"/>
    </row>
    <row r="3975" ht="15" customHeight="1">
      <c r="A3975" t="inlineStr">
        <is>
          <t>A 64025-2021</t>
        </is>
      </c>
      <c r="B3975" s="1" t="n">
        <v>44510</v>
      </c>
      <c r="C3975" s="1" t="n">
        <v>45210</v>
      </c>
      <c r="D3975" t="inlineStr">
        <is>
          <t>DALARNAS LÄN</t>
        </is>
      </c>
      <c r="E3975" t="inlineStr">
        <is>
          <t>VANSBRO</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64262-2021</t>
        </is>
      </c>
      <c r="B3976" s="1" t="n">
        <v>44510</v>
      </c>
      <c r="C3976" s="1" t="n">
        <v>45210</v>
      </c>
      <c r="D3976" t="inlineStr">
        <is>
          <t>DALARNAS LÄN</t>
        </is>
      </c>
      <c r="E3976" t="inlineStr">
        <is>
          <t>BORLÄNGE</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64315-2021</t>
        </is>
      </c>
      <c r="B3977" s="1" t="n">
        <v>44511</v>
      </c>
      <c r="C3977" s="1" t="n">
        <v>45210</v>
      </c>
      <c r="D3977" t="inlineStr">
        <is>
          <t>DALARNAS LÄN</t>
        </is>
      </c>
      <c r="E3977" t="inlineStr">
        <is>
          <t>RÄTTVIK</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64473-2021</t>
        </is>
      </c>
      <c r="B3978" s="1" t="n">
        <v>44511</v>
      </c>
      <c r="C3978" s="1" t="n">
        <v>45210</v>
      </c>
      <c r="D3978" t="inlineStr">
        <is>
          <t>DALARNAS LÄN</t>
        </is>
      </c>
      <c r="E3978" t="inlineStr">
        <is>
          <t>HEDEMORA</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64503-2021</t>
        </is>
      </c>
      <c r="B3979" s="1" t="n">
        <v>44511</v>
      </c>
      <c r="C3979" s="1" t="n">
        <v>45210</v>
      </c>
      <c r="D3979" t="inlineStr">
        <is>
          <t>DALARNAS LÄN</t>
        </is>
      </c>
      <c r="E3979" t="inlineStr">
        <is>
          <t>GAGNEF</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64577-2021</t>
        </is>
      </c>
      <c r="B3980" s="1" t="n">
        <v>44511</v>
      </c>
      <c r="C3980" s="1" t="n">
        <v>45210</v>
      </c>
      <c r="D3980" t="inlineStr">
        <is>
          <t>DALARNAS LÄN</t>
        </is>
      </c>
      <c r="E3980" t="inlineStr">
        <is>
          <t>MALUNG-SÄLEN</t>
        </is>
      </c>
      <c r="G3980" t="n">
        <v>0.9</v>
      </c>
      <c r="H3980" t="n">
        <v>0</v>
      </c>
      <c r="I3980" t="n">
        <v>0</v>
      </c>
      <c r="J3980" t="n">
        <v>0</v>
      </c>
      <c r="K3980" t="n">
        <v>0</v>
      </c>
      <c r="L3980" t="n">
        <v>0</v>
      </c>
      <c r="M3980" t="n">
        <v>0</v>
      </c>
      <c r="N3980" t="n">
        <v>0</v>
      </c>
      <c r="O3980" t="n">
        <v>0</v>
      </c>
      <c r="P3980" t="n">
        <v>0</v>
      </c>
      <c r="Q3980" t="n">
        <v>0</v>
      </c>
      <c r="R3980" s="2" t="inlineStr"/>
    </row>
    <row r="3981" ht="15" customHeight="1">
      <c r="A3981" t="inlineStr">
        <is>
          <t>A 64758-2021</t>
        </is>
      </c>
      <c r="B3981" s="1" t="n">
        <v>44511</v>
      </c>
      <c r="C3981" s="1" t="n">
        <v>45210</v>
      </c>
      <c r="D3981" t="inlineStr">
        <is>
          <t>DALARNAS LÄN</t>
        </is>
      </c>
      <c r="E3981" t="inlineStr">
        <is>
          <t>FALUN</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64896-2021</t>
        </is>
      </c>
      <c r="B3982" s="1" t="n">
        <v>44512</v>
      </c>
      <c r="C3982" s="1" t="n">
        <v>45210</v>
      </c>
      <c r="D3982" t="inlineStr">
        <is>
          <t>DALARNAS LÄN</t>
        </is>
      </c>
      <c r="E3982" t="inlineStr">
        <is>
          <t>MALUNG-SÄLEN</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64863-2021</t>
        </is>
      </c>
      <c r="B3983" s="1" t="n">
        <v>44512</v>
      </c>
      <c r="C3983" s="1" t="n">
        <v>45210</v>
      </c>
      <c r="D3983" t="inlineStr">
        <is>
          <t>DALARNAS LÄN</t>
        </is>
      </c>
      <c r="E3983" t="inlineStr">
        <is>
          <t>MALUNG-SÄLEN</t>
        </is>
      </c>
      <c r="F3983" t="inlineStr">
        <is>
          <t>Allmännings- och besparingsskogar</t>
        </is>
      </c>
      <c r="G3983" t="n">
        <v>0.3</v>
      </c>
      <c r="H3983" t="n">
        <v>0</v>
      </c>
      <c r="I3983" t="n">
        <v>0</v>
      </c>
      <c r="J3983" t="n">
        <v>0</v>
      </c>
      <c r="K3983" t="n">
        <v>0</v>
      </c>
      <c r="L3983" t="n">
        <v>0</v>
      </c>
      <c r="M3983" t="n">
        <v>0</v>
      </c>
      <c r="N3983" t="n">
        <v>0</v>
      </c>
      <c r="O3983" t="n">
        <v>0</v>
      </c>
      <c r="P3983" t="n">
        <v>0</v>
      </c>
      <c r="Q3983" t="n">
        <v>0</v>
      </c>
      <c r="R3983" s="2" t="inlineStr"/>
    </row>
    <row r="3984" ht="15" customHeight="1">
      <c r="A3984" t="inlineStr">
        <is>
          <t>A 64739-2021</t>
        </is>
      </c>
      <c r="B3984" s="1" t="n">
        <v>44512</v>
      </c>
      <c r="C3984" s="1" t="n">
        <v>45210</v>
      </c>
      <c r="D3984" t="inlineStr">
        <is>
          <t>DALARNAS LÄN</t>
        </is>
      </c>
      <c r="E3984" t="inlineStr">
        <is>
          <t>MALUNG-SÄLEN</t>
        </is>
      </c>
      <c r="F3984" t="inlineStr">
        <is>
          <t>Kommuner</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64854-2021</t>
        </is>
      </c>
      <c r="B3985" s="1" t="n">
        <v>44512</v>
      </c>
      <c r="C3985" s="1" t="n">
        <v>45210</v>
      </c>
      <c r="D3985" t="inlineStr">
        <is>
          <t>DALARNAS LÄN</t>
        </is>
      </c>
      <c r="E3985" t="inlineStr">
        <is>
          <t>RÄTTVIK</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64903-2021</t>
        </is>
      </c>
      <c r="B3986" s="1" t="n">
        <v>44512</v>
      </c>
      <c r="C3986" s="1" t="n">
        <v>45210</v>
      </c>
      <c r="D3986" t="inlineStr">
        <is>
          <t>DALARNAS LÄN</t>
        </is>
      </c>
      <c r="E3986" t="inlineStr">
        <is>
          <t>LUDVIKA</t>
        </is>
      </c>
      <c r="F3986" t="inlineStr">
        <is>
          <t>Bergvik skog väst AB</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65249-2021</t>
        </is>
      </c>
      <c r="B3987" s="1" t="n">
        <v>44515</v>
      </c>
      <c r="C3987" s="1" t="n">
        <v>45210</v>
      </c>
      <c r="D3987" t="inlineStr">
        <is>
          <t>DALARNAS LÄN</t>
        </is>
      </c>
      <c r="E3987" t="inlineStr">
        <is>
          <t>SMEDJEBACKEN</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65260-2021</t>
        </is>
      </c>
      <c r="B3988" s="1" t="n">
        <v>44515</v>
      </c>
      <c r="C3988" s="1" t="n">
        <v>45210</v>
      </c>
      <c r="D3988" t="inlineStr">
        <is>
          <t>DALARNAS LÄN</t>
        </is>
      </c>
      <c r="E3988" t="inlineStr">
        <is>
          <t>MALUNG-SÄLEN</t>
        </is>
      </c>
      <c r="F3988" t="inlineStr">
        <is>
          <t>Allmännings- och besparingsskogar</t>
        </is>
      </c>
      <c r="G3988" t="n">
        <v>19.1</v>
      </c>
      <c r="H3988" t="n">
        <v>0</v>
      </c>
      <c r="I3988" t="n">
        <v>0</v>
      </c>
      <c r="J3988" t="n">
        <v>0</v>
      </c>
      <c r="K3988" t="n">
        <v>0</v>
      </c>
      <c r="L3988" t="n">
        <v>0</v>
      </c>
      <c r="M3988" t="n">
        <v>0</v>
      </c>
      <c r="N3988" t="n">
        <v>0</v>
      </c>
      <c r="O3988" t="n">
        <v>0</v>
      </c>
      <c r="P3988" t="n">
        <v>0</v>
      </c>
      <c r="Q3988" t="n">
        <v>0</v>
      </c>
      <c r="R3988" s="2" t="inlineStr"/>
    </row>
    <row r="3989" ht="15" customHeight="1">
      <c r="A3989" t="inlineStr">
        <is>
          <t>A 65266-2021</t>
        </is>
      </c>
      <c r="B3989" s="1" t="n">
        <v>44515</v>
      </c>
      <c r="C3989" s="1" t="n">
        <v>45210</v>
      </c>
      <c r="D3989" t="inlineStr">
        <is>
          <t>DALARNAS LÄN</t>
        </is>
      </c>
      <c r="E3989" t="inlineStr">
        <is>
          <t>MALUNG-SÄLEN</t>
        </is>
      </c>
      <c r="F3989" t="inlineStr">
        <is>
          <t>Allmännings- och besparingsskogar</t>
        </is>
      </c>
      <c r="G3989" t="n">
        <v>33.6</v>
      </c>
      <c r="H3989" t="n">
        <v>0</v>
      </c>
      <c r="I3989" t="n">
        <v>0</v>
      </c>
      <c r="J3989" t="n">
        <v>0</v>
      </c>
      <c r="K3989" t="n">
        <v>0</v>
      </c>
      <c r="L3989" t="n">
        <v>0</v>
      </c>
      <c r="M3989" t="n">
        <v>0</v>
      </c>
      <c r="N3989" t="n">
        <v>0</v>
      </c>
      <c r="O3989" t="n">
        <v>0</v>
      </c>
      <c r="P3989" t="n">
        <v>0</v>
      </c>
      <c r="Q3989" t="n">
        <v>0</v>
      </c>
      <c r="R3989" s="2" t="inlineStr"/>
    </row>
    <row r="3990" ht="15" customHeight="1">
      <c r="A3990" t="inlineStr">
        <is>
          <t>A 65275-2021</t>
        </is>
      </c>
      <c r="B3990" s="1" t="n">
        <v>44515</v>
      </c>
      <c r="C3990" s="1" t="n">
        <v>45210</v>
      </c>
      <c r="D3990" t="inlineStr">
        <is>
          <t>DALARNAS LÄN</t>
        </is>
      </c>
      <c r="E3990" t="inlineStr">
        <is>
          <t>MALUNG-SÄLEN</t>
        </is>
      </c>
      <c r="F3990" t="inlineStr">
        <is>
          <t>Allmännings- och besparingsskogar</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65252-2021</t>
        </is>
      </c>
      <c r="B3991" s="1" t="n">
        <v>44515</v>
      </c>
      <c r="C3991" s="1" t="n">
        <v>45210</v>
      </c>
      <c r="D3991" t="inlineStr">
        <is>
          <t>DALARNAS LÄN</t>
        </is>
      </c>
      <c r="E3991" t="inlineStr">
        <is>
          <t>MALUNG-SÄLEN</t>
        </is>
      </c>
      <c r="F3991" t="inlineStr">
        <is>
          <t>Allmännings- och besparingsskogar</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65258-2021</t>
        </is>
      </c>
      <c r="B3992" s="1" t="n">
        <v>44515</v>
      </c>
      <c r="C3992" s="1" t="n">
        <v>45210</v>
      </c>
      <c r="D3992" t="inlineStr">
        <is>
          <t>DALARNAS LÄN</t>
        </is>
      </c>
      <c r="E3992" t="inlineStr">
        <is>
          <t>MORA</t>
        </is>
      </c>
      <c r="F3992" t="inlineStr">
        <is>
          <t>Bergvik skog väst AB</t>
        </is>
      </c>
      <c r="G3992" t="n">
        <v>8.4</v>
      </c>
      <c r="H3992" t="n">
        <v>0</v>
      </c>
      <c r="I3992" t="n">
        <v>0</v>
      </c>
      <c r="J3992" t="n">
        <v>0</v>
      </c>
      <c r="K3992" t="n">
        <v>0</v>
      </c>
      <c r="L3992" t="n">
        <v>0</v>
      </c>
      <c r="M3992" t="n">
        <v>0</v>
      </c>
      <c r="N3992" t="n">
        <v>0</v>
      </c>
      <c r="O3992" t="n">
        <v>0</v>
      </c>
      <c r="P3992" t="n">
        <v>0</v>
      </c>
      <c r="Q3992" t="n">
        <v>0</v>
      </c>
      <c r="R3992" s="2" t="inlineStr"/>
    </row>
    <row r="3993" ht="15" customHeight="1">
      <c r="A3993" t="inlineStr">
        <is>
          <t>A 65186-2021</t>
        </is>
      </c>
      <c r="B3993" s="1" t="n">
        <v>44515</v>
      </c>
      <c r="C3993" s="1" t="n">
        <v>45210</v>
      </c>
      <c r="D3993" t="inlineStr">
        <is>
          <t>DALARNAS LÄN</t>
        </is>
      </c>
      <c r="E3993" t="inlineStr">
        <is>
          <t>MORA</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65253-2021</t>
        </is>
      </c>
      <c r="B3994" s="1" t="n">
        <v>44515</v>
      </c>
      <c r="C3994" s="1" t="n">
        <v>45210</v>
      </c>
      <c r="D3994" t="inlineStr">
        <is>
          <t>DALARNAS LÄN</t>
        </is>
      </c>
      <c r="E3994" t="inlineStr">
        <is>
          <t>MORA</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65465-2021</t>
        </is>
      </c>
      <c r="B3995" s="1" t="n">
        <v>44516</v>
      </c>
      <c r="C3995" s="1" t="n">
        <v>45210</v>
      </c>
      <c r="D3995" t="inlineStr">
        <is>
          <t>DALARNAS LÄN</t>
        </is>
      </c>
      <c r="E3995" t="inlineStr">
        <is>
          <t>MALUNG-SÄLEN</t>
        </is>
      </c>
      <c r="G3995" t="n">
        <v>3.1</v>
      </c>
      <c r="H3995" t="n">
        <v>0</v>
      </c>
      <c r="I3995" t="n">
        <v>0</v>
      </c>
      <c r="J3995" t="n">
        <v>0</v>
      </c>
      <c r="K3995" t="n">
        <v>0</v>
      </c>
      <c r="L3995" t="n">
        <v>0</v>
      </c>
      <c r="M3995" t="n">
        <v>0</v>
      </c>
      <c r="N3995" t="n">
        <v>0</v>
      </c>
      <c r="O3995" t="n">
        <v>0</v>
      </c>
      <c r="P3995" t="n">
        <v>0</v>
      </c>
      <c r="Q3995" t="n">
        <v>0</v>
      </c>
      <c r="R3995" s="2" t="inlineStr"/>
    </row>
    <row r="3996" ht="15" customHeight="1">
      <c r="A3996" t="inlineStr">
        <is>
          <t>A 65685-2021</t>
        </is>
      </c>
      <c r="B3996" s="1" t="n">
        <v>44516</v>
      </c>
      <c r="C3996" s="1" t="n">
        <v>45210</v>
      </c>
      <c r="D3996" t="inlineStr">
        <is>
          <t>DALARNAS LÄN</t>
        </is>
      </c>
      <c r="E3996" t="inlineStr">
        <is>
          <t>LUDVIKA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65699-2021</t>
        </is>
      </c>
      <c r="B3997" s="1" t="n">
        <v>44516</v>
      </c>
      <c r="C3997" s="1" t="n">
        <v>45210</v>
      </c>
      <c r="D3997" t="inlineStr">
        <is>
          <t>DALARNAS LÄN</t>
        </is>
      </c>
      <c r="E3997" t="inlineStr">
        <is>
          <t>LUDVIKA</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65667-2021</t>
        </is>
      </c>
      <c r="B3998" s="1" t="n">
        <v>44516</v>
      </c>
      <c r="C3998" s="1" t="n">
        <v>45210</v>
      </c>
      <c r="D3998" t="inlineStr">
        <is>
          <t>DALARNAS LÄN</t>
        </is>
      </c>
      <c r="E3998" t="inlineStr">
        <is>
          <t>LUDVIKA</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65738-2021</t>
        </is>
      </c>
      <c r="B3999" s="1" t="n">
        <v>44516</v>
      </c>
      <c r="C3999" s="1" t="n">
        <v>45210</v>
      </c>
      <c r="D3999" t="inlineStr">
        <is>
          <t>DALARNAS LÄN</t>
        </is>
      </c>
      <c r="E3999" t="inlineStr">
        <is>
          <t>AVESTA</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66012-2021</t>
        </is>
      </c>
      <c r="B4000" s="1" t="n">
        <v>44517</v>
      </c>
      <c r="C4000" s="1" t="n">
        <v>45210</v>
      </c>
      <c r="D4000" t="inlineStr">
        <is>
          <t>DALARNAS LÄN</t>
        </is>
      </c>
      <c r="E4000" t="inlineStr">
        <is>
          <t>FALUN</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66673-2021</t>
        </is>
      </c>
      <c r="B4001" s="1" t="n">
        <v>44519</v>
      </c>
      <c r="C4001" s="1" t="n">
        <v>45210</v>
      </c>
      <c r="D4001" t="inlineStr">
        <is>
          <t>DALARNAS LÄN</t>
        </is>
      </c>
      <c r="E4001" t="inlineStr">
        <is>
          <t>RÄTTVIK</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66613-2021</t>
        </is>
      </c>
      <c r="B4002" s="1" t="n">
        <v>44519</v>
      </c>
      <c r="C4002" s="1" t="n">
        <v>45210</v>
      </c>
      <c r="D4002" t="inlineStr">
        <is>
          <t>DALARNAS LÄN</t>
        </is>
      </c>
      <c r="E4002" t="inlineStr">
        <is>
          <t>GAGNEF</t>
        </is>
      </c>
      <c r="G4002" t="n">
        <v>0.2</v>
      </c>
      <c r="H4002" t="n">
        <v>0</v>
      </c>
      <c r="I4002" t="n">
        <v>0</v>
      </c>
      <c r="J4002" t="n">
        <v>0</v>
      </c>
      <c r="K4002" t="n">
        <v>0</v>
      </c>
      <c r="L4002" t="n">
        <v>0</v>
      </c>
      <c r="M4002" t="n">
        <v>0</v>
      </c>
      <c r="N4002" t="n">
        <v>0</v>
      </c>
      <c r="O4002" t="n">
        <v>0</v>
      </c>
      <c r="P4002" t="n">
        <v>0</v>
      </c>
      <c r="Q4002" t="n">
        <v>0</v>
      </c>
      <c r="R4002" s="2" t="inlineStr"/>
    </row>
    <row r="4003" ht="15" customHeight="1">
      <c r="A4003" t="inlineStr">
        <is>
          <t>A 66705-2021</t>
        </is>
      </c>
      <c r="B4003" s="1" t="n">
        <v>44519</v>
      </c>
      <c r="C4003" s="1" t="n">
        <v>45210</v>
      </c>
      <c r="D4003" t="inlineStr">
        <is>
          <t>DALARNAS LÄN</t>
        </is>
      </c>
      <c r="E4003" t="inlineStr">
        <is>
          <t>VANSBRO</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66634-2021</t>
        </is>
      </c>
      <c r="B4004" s="1" t="n">
        <v>44519</v>
      </c>
      <c r="C4004" s="1" t="n">
        <v>45210</v>
      </c>
      <c r="D4004" t="inlineStr">
        <is>
          <t>DALARNAS LÄN</t>
        </is>
      </c>
      <c r="E4004" t="inlineStr">
        <is>
          <t>ÄLVDALEN</t>
        </is>
      </c>
      <c r="F4004" t="inlineStr">
        <is>
          <t>Sveaskog</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66670-2021</t>
        </is>
      </c>
      <c r="B4005" s="1" t="n">
        <v>44519</v>
      </c>
      <c r="C4005" s="1" t="n">
        <v>45210</v>
      </c>
      <c r="D4005" t="inlineStr">
        <is>
          <t>DALARNAS LÄN</t>
        </is>
      </c>
      <c r="E4005" t="inlineStr">
        <is>
          <t>RÄTTVIK</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66717-2021</t>
        </is>
      </c>
      <c r="B4006" s="1" t="n">
        <v>44519</v>
      </c>
      <c r="C4006" s="1" t="n">
        <v>45210</v>
      </c>
      <c r="D4006" t="inlineStr">
        <is>
          <t>DALARNAS LÄN</t>
        </is>
      </c>
      <c r="E4006" t="inlineStr">
        <is>
          <t>VANSBRO</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67045-2021</t>
        </is>
      </c>
      <c r="B4007" s="1" t="n">
        <v>44522</v>
      </c>
      <c r="C4007" s="1" t="n">
        <v>45210</v>
      </c>
      <c r="D4007" t="inlineStr">
        <is>
          <t>DALARNAS LÄN</t>
        </is>
      </c>
      <c r="E4007" t="inlineStr">
        <is>
          <t>MORA</t>
        </is>
      </c>
      <c r="G4007" t="n">
        <v>0.2</v>
      </c>
      <c r="H4007" t="n">
        <v>0</v>
      </c>
      <c r="I4007" t="n">
        <v>0</v>
      </c>
      <c r="J4007" t="n">
        <v>0</v>
      </c>
      <c r="K4007" t="n">
        <v>0</v>
      </c>
      <c r="L4007" t="n">
        <v>0</v>
      </c>
      <c r="M4007" t="n">
        <v>0</v>
      </c>
      <c r="N4007" t="n">
        <v>0</v>
      </c>
      <c r="O4007" t="n">
        <v>0</v>
      </c>
      <c r="P4007" t="n">
        <v>0</v>
      </c>
      <c r="Q4007" t="n">
        <v>0</v>
      </c>
      <c r="R4007" s="2" t="inlineStr"/>
    </row>
    <row r="4008" ht="15" customHeight="1">
      <c r="A4008" t="inlineStr">
        <is>
          <t>A 67422-2021</t>
        </is>
      </c>
      <c r="B4008" s="1" t="n">
        <v>44524</v>
      </c>
      <c r="C4008" s="1" t="n">
        <v>45210</v>
      </c>
      <c r="D4008" t="inlineStr">
        <is>
          <t>DALARNAS LÄN</t>
        </is>
      </c>
      <c r="E4008" t="inlineStr">
        <is>
          <t>BORLÄNGE</t>
        </is>
      </c>
      <c r="F4008" t="inlineStr">
        <is>
          <t>Bergvik skog väst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67498-2021</t>
        </is>
      </c>
      <c r="B4009" s="1" t="n">
        <v>44524</v>
      </c>
      <c r="C4009" s="1" t="n">
        <v>45210</v>
      </c>
      <c r="D4009" t="inlineStr">
        <is>
          <t>DALARNAS LÄN</t>
        </is>
      </c>
      <c r="E4009" t="inlineStr">
        <is>
          <t>RÄTTVIK</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67932-2021</t>
        </is>
      </c>
      <c r="B4010" s="1" t="n">
        <v>44525</v>
      </c>
      <c r="C4010" s="1" t="n">
        <v>45210</v>
      </c>
      <c r="D4010" t="inlineStr">
        <is>
          <t>DALARNAS LÄN</t>
        </is>
      </c>
      <c r="E4010" t="inlineStr">
        <is>
          <t>MORA</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67977-2021</t>
        </is>
      </c>
      <c r="B4011" s="1" t="n">
        <v>44525</v>
      </c>
      <c r="C4011" s="1" t="n">
        <v>45210</v>
      </c>
      <c r="D4011" t="inlineStr">
        <is>
          <t>DALARNAS LÄN</t>
        </is>
      </c>
      <c r="E4011" t="inlineStr">
        <is>
          <t>SMEDJEBACKEN</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68141-2021</t>
        </is>
      </c>
      <c r="B4012" s="1" t="n">
        <v>44526</v>
      </c>
      <c r="C4012" s="1" t="n">
        <v>45210</v>
      </c>
      <c r="D4012" t="inlineStr">
        <is>
          <t>DALARNAS LÄN</t>
        </is>
      </c>
      <c r="E4012" t="inlineStr">
        <is>
          <t>MALUNG-SÄLEN</t>
        </is>
      </c>
      <c r="F4012" t="inlineStr">
        <is>
          <t>Bergvik skog öst AB</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68204-2021</t>
        </is>
      </c>
      <c r="B4013" s="1" t="n">
        <v>44526</v>
      </c>
      <c r="C4013" s="1" t="n">
        <v>45210</v>
      </c>
      <c r="D4013" t="inlineStr">
        <is>
          <t>DALARNAS LÄN</t>
        </is>
      </c>
      <c r="E4013" t="inlineStr">
        <is>
          <t>ÄLVDALEN</t>
        </is>
      </c>
      <c r="F4013" t="inlineStr">
        <is>
          <t>Kyrkan</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68230-2021</t>
        </is>
      </c>
      <c r="B4014" s="1" t="n">
        <v>44526</v>
      </c>
      <c r="C4014" s="1" t="n">
        <v>45210</v>
      </c>
      <c r="D4014" t="inlineStr">
        <is>
          <t>DALARNAS LÄN</t>
        </is>
      </c>
      <c r="E4014" t="inlineStr">
        <is>
          <t>ORSA</t>
        </is>
      </c>
      <c r="F4014" t="inlineStr">
        <is>
          <t>Kyrkan</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68330-2021</t>
        </is>
      </c>
      <c r="B4015" s="1" t="n">
        <v>44527</v>
      </c>
      <c r="C4015" s="1" t="n">
        <v>45210</v>
      </c>
      <c r="D4015" t="inlineStr">
        <is>
          <t>DALARNAS LÄN</t>
        </is>
      </c>
      <c r="E4015" t="inlineStr">
        <is>
          <t>GAGNEF</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68457-2021</t>
        </is>
      </c>
      <c r="B4016" s="1" t="n">
        <v>44529</v>
      </c>
      <c r="C4016" s="1" t="n">
        <v>45210</v>
      </c>
      <c r="D4016" t="inlineStr">
        <is>
          <t>DALARNAS LÄN</t>
        </is>
      </c>
      <c r="E4016" t="inlineStr">
        <is>
          <t>HEDEMORA</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68553-2021</t>
        </is>
      </c>
      <c r="B4017" s="1" t="n">
        <v>44529</v>
      </c>
      <c r="C4017" s="1" t="n">
        <v>45210</v>
      </c>
      <c r="D4017" t="inlineStr">
        <is>
          <t>DALARNAS LÄN</t>
        </is>
      </c>
      <c r="E4017" t="inlineStr">
        <is>
          <t>HEDEMORA</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68742-2021</t>
        </is>
      </c>
      <c r="B4018" s="1" t="n">
        <v>44529</v>
      </c>
      <c r="C4018" s="1" t="n">
        <v>45210</v>
      </c>
      <c r="D4018" t="inlineStr">
        <is>
          <t>DALARNAS LÄN</t>
        </is>
      </c>
      <c r="E4018" t="inlineStr">
        <is>
          <t>MALUNG-SÄLEN</t>
        </is>
      </c>
      <c r="G4018" t="n">
        <v>8.199999999999999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69059-2021</t>
        </is>
      </c>
      <c r="B4019" s="1" t="n">
        <v>44529</v>
      </c>
      <c r="C4019" s="1" t="n">
        <v>45210</v>
      </c>
      <c r="D4019" t="inlineStr">
        <is>
          <t>DALARNAS LÄN</t>
        </is>
      </c>
      <c r="E4019" t="inlineStr">
        <is>
          <t>RÄTTVIK</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68383-2021</t>
        </is>
      </c>
      <c r="B4020" s="1" t="n">
        <v>44529</v>
      </c>
      <c r="C4020" s="1" t="n">
        <v>45210</v>
      </c>
      <c r="D4020" t="inlineStr">
        <is>
          <t>DALARNAS LÄN</t>
        </is>
      </c>
      <c r="E4020" t="inlineStr">
        <is>
          <t>ÄLVDALEN</t>
        </is>
      </c>
      <c r="F4020" t="inlineStr">
        <is>
          <t>Sveaskog</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68415-2021</t>
        </is>
      </c>
      <c r="B4021" s="1" t="n">
        <v>44529</v>
      </c>
      <c r="C4021" s="1" t="n">
        <v>45210</v>
      </c>
      <c r="D4021" t="inlineStr">
        <is>
          <t>DALARNAS LÄN</t>
        </is>
      </c>
      <c r="E4021" t="inlineStr">
        <is>
          <t>MORA</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68453-2021</t>
        </is>
      </c>
      <c r="B4022" s="1" t="n">
        <v>44529</v>
      </c>
      <c r="C4022" s="1" t="n">
        <v>45210</v>
      </c>
      <c r="D4022" t="inlineStr">
        <is>
          <t>DALARNAS LÄN</t>
        </is>
      </c>
      <c r="E4022" t="inlineStr">
        <is>
          <t>FALUN</t>
        </is>
      </c>
      <c r="G4022" t="n">
        <v>4</v>
      </c>
      <c r="H4022" t="n">
        <v>0</v>
      </c>
      <c r="I4022" t="n">
        <v>0</v>
      </c>
      <c r="J4022" t="n">
        <v>0</v>
      </c>
      <c r="K4022" t="n">
        <v>0</v>
      </c>
      <c r="L4022" t="n">
        <v>0</v>
      </c>
      <c r="M4022" t="n">
        <v>0</v>
      </c>
      <c r="N4022" t="n">
        <v>0</v>
      </c>
      <c r="O4022" t="n">
        <v>0</v>
      </c>
      <c r="P4022" t="n">
        <v>0</v>
      </c>
      <c r="Q4022" t="n">
        <v>0</v>
      </c>
      <c r="R4022" s="2" t="inlineStr"/>
    </row>
    <row r="4023" ht="15" customHeight="1">
      <c r="A4023" t="inlineStr">
        <is>
          <t>A 69058-2021</t>
        </is>
      </c>
      <c r="B4023" s="1" t="n">
        <v>44529</v>
      </c>
      <c r="C4023" s="1" t="n">
        <v>45210</v>
      </c>
      <c r="D4023" t="inlineStr">
        <is>
          <t>DALARNAS LÄN</t>
        </is>
      </c>
      <c r="E4023" t="inlineStr">
        <is>
          <t>RÄTTVIK</t>
        </is>
      </c>
      <c r="G4023" t="n">
        <v>2.2</v>
      </c>
      <c r="H4023" t="n">
        <v>0</v>
      </c>
      <c r="I4023" t="n">
        <v>0</v>
      </c>
      <c r="J4023" t="n">
        <v>0</v>
      </c>
      <c r="K4023" t="n">
        <v>0</v>
      </c>
      <c r="L4023" t="n">
        <v>0</v>
      </c>
      <c r="M4023" t="n">
        <v>0</v>
      </c>
      <c r="N4023" t="n">
        <v>0</v>
      </c>
      <c r="O4023" t="n">
        <v>0</v>
      </c>
      <c r="P4023" t="n">
        <v>0</v>
      </c>
      <c r="Q4023" t="n">
        <v>0</v>
      </c>
      <c r="R4023" s="2" t="inlineStr"/>
    </row>
    <row r="4024" ht="15" customHeight="1">
      <c r="A4024" t="inlineStr">
        <is>
          <t>A 68419-2021</t>
        </is>
      </c>
      <c r="B4024" s="1" t="n">
        <v>44529</v>
      </c>
      <c r="C4024" s="1" t="n">
        <v>45210</v>
      </c>
      <c r="D4024" t="inlineStr">
        <is>
          <t>DALARNAS LÄN</t>
        </is>
      </c>
      <c r="E4024" t="inlineStr">
        <is>
          <t>SÄTER</t>
        </is>
      </c>
      <c r="G4024" t="n">
        <v>4.6</v>
      </c>
      <c r="H4024" t="n">
        <v>0</v>
      </c>
      <c r="I4024" t="n">
        <v>0</v>
      </c>
      <c r="J4024" t="n">
        <v>0</v>
      </c>
      <c r="K4024" t="n">
        <v>0</v>
      </c>
      <c r="L4024" t="n">
        <v>0</v>
      </c>
      <c r="M4024" t="n">
        <v>0</v>
      </c>
      <c r="N4024" t="n">
        <v>0</v>
      </c>
      <c r="O4024" t="n">
        <v>0</v>
      </c>
      <c r="P4024" t="n">
        <v>0</v>
      </c>
      <c r="Q4024" t="n">
        <v>0</v>
      </c>
      <c r="R4024" s="2" t="inlineStr"/>
    </row>
    <row r="4025" ht="15" customHeight="1">
      <c r="A4025" t="inlineStr">
        <is>
          <t>A 68573-2021</t>
        </is>
      </c>
      <c r="B4025" s="1" t="n">
        <v>44529</v>
      </c>
      <c r="C4025" s="1" t="n">
        <v>45210</v>
      </c>
      <c r="D4025" t="inlineStr">
        <is>
          <t>DALARNAS LÄN</t>
        </is>
      </c>
      <c r="E4025" t="inlineStr">
        <is>
          <t>LEKSAND</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68735-2021</t>
        </is>
      </c>
      <c r="B4026" s="1" t="n">
        <v>44529</v>
      </c>
      <c r="C4026" s="1" t="n">
        <v>45210</v>
      </c>
      <c r="D4026" t="inlineStr">
        <is>
          <t>DALARNAS LÄN</t>
        </is>
      </c>
      <c r="E4026" t="inlineStr">
        <is>
          <t>BORLÄNGE</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69061-2021</t>
        </is>
      </c>
      <c r="B4027" s="1" t="n">
        <v>44529</v>
      </c>
      <c r="C4027" s="1" t="n">
        <v>45210</v>
      </c>
      <c r="D4027" t="inlineStr">
        <is>
          <t>DALARNAS LÄN</t>
        </is>
      </c>
      <c r="E4027" t="inlineStr">
        <is>
          <t>RÄTTVIK</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68557-2021</t>
        </is>
      </c>
      <c r="B4028" s="1" t="n">
        <v>44529</v>
      </c>
      <c r="C4028" s="1" t="n">
        <v>45210</v>
      </c>
      <c r="D4028" t="inlineStr">
        <is>
          <t>DALARNAS LÄN</t>
        </is>
      </c>
      <c r="E4028" t="inlineStr">
        <is>
          <t>FALUN</t>
        </is>
      </c>
      <c r="G4028" t="n">
        <v>9.5</v>
      </c>
      <c r="H4028" t="n">
        <v>0</v>
      </c>
      <c r="I4028" t="n">
        <v>0</v>
      </c>
      <c r="J4028" t="n">
        <v>0</v>
      </c>
      <c r="K4028" t="n">
        <v>0</v>
      </c>
      <c r="L4028" t="n">
        <v>0</v>
      </c>
      <c r="M4028" t="n">
        <v>0</v>
      </c>
      <c r="N4028" t="n">
        <v>0</v>
      </c>
      <c r="O4028" t="n">
        <v>0</v>
      </c>
      <c r="P4028" t="n">
        <v>0</v>
      </c>
      <c r="Q4028" t="n">
        <v>0</v>
      </c>
      <c r="R4028" s="2" t="inlineStr"/>
    </row>
    <row r="4029" ht="15" customHeight="1">
      <c r="A4029" t="inlineStr">
        <is>
          <t>A 68617-2021</t>
        </is>
      </c>
      <c r="B4029" s="1" t="n">
        <v>44529</v>
      </c>
      <c r="C4029" s="1" t="n">
        <v>45210</v>
      </c>
      <c r="D4029" t="inlineStr">
        <is>
          <t>DALARNAS LÄN</t>
        </is>
      </c>
      <c r="E4029" t="inlineStr">
        <is>
          <t>LEKSAND</t>
        </is>
      </c>
      <c r="G4029" t="n">
        <v>0.4</v>
      </c>
      <c r="H4029" t="n">
        <v>0</v>
      </c>
      <c r="I4029" t="n">
        <v>0</v>
      </c>
      <c r="J4029" t="n">
        <v>0</v>
      </c>
      <c r="K4029" t="n">
        <v>0</v>
      </c>
      <c r="L4029" t="n">
        <v>0</v>
      </c>
      <c r="M4029" t="n">
        <v>0</v>
      </c>
      <c r="N4029" t="n">
        <v>0</v>
      </c>
      <c r="O4029" t="n">
        <v>0</v>
      </c>
      <c r="P4029" t="n">
        <v>0</v>
      </c>
      <c r="Q4029" t="n">
        <v>0</v>
      </c>
      <c r="R4029" s="2" t="inlineStr"/>
    </row>
    <row r="4030" ht="15" customHeight="1">
      <c r="A4030" t="inlineStr">
        <is>
          <t>A 68996-2021</t>
        </is>
      </c>
      <c r="B4030" s="1" t="n">
        <v>44529</v>
      </c>
      <c r="C4030" s="1" t="n">
        <v>45210</v>
      </c>
      <c r="D4030" t="inlineStr">
        <is>
          <t>DALARNAS LÄN</t>
        </is>
      </c>
      <c r="E4030" t="inlineStr">
        <is>
          <t>RÄTTVIK</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68966-2021</t>
        </is>
      </c>
      <c r="B4031" s="1" t="n">
        <v>44530</v>
      </c>
      <c r="C4031" s="1" t="n">
        <v>45210</v>
      </c>
      <c r="D4031" t="inlineStr">
        <is>
          <t>DALARNAS LÄN</t>
        </is>
      </c>
      <c r="E4031" t="inlineStr">
        <is>
          <t>MORA</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69033-2021</t>
        </is>
      </c>
      <c r="B4032" s="1" t="n">
        <v>44530</v>
      </c>
      <c r="C4032" s="1" t="n">
        <v>45210</v>
      </c>
      <c r="D4032" t="inlineStr">
        <is>
          <t>DALARNAS LÄN</t>
        </is>
      </c>
      <c r="E4032" t="inlineStr">
        <is>
          <t>SMEDJEBACKEN</t>
        </is>
      </c>
      <c r="F4032" t="inlineStr">
        <is>
          <t>Sveaskog</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69028-2021</t>
        </is>
      </c>
      <c r="B4033" s="1" t="n">
        <v>44530</v>
      </c>
      <c r="C4033" s="1" t="n">
        <v>45210</v>
      </c>
      <c r="D4033" t="inlineStr">
        <is>
          <t>DALARNAS LÄN</t>
        </is>
      </c>
      <c r="E4033" t="inlineStr">
        <is>
          <t>FALUN</t>
        </is>
      </c>
      <c r="G4033" t="n">
        <v>1.8</v>
      </c>
      <c r="H4033" t="n">
        <v>0</v>
      </c>
      <c r="I4033" t="n">
        <v>0</v>
      </c>
      <c r="J4033" t="n">
        <v>0</v>
      </c>
      <c r="K4033" t="n">
        <v>0</v>
      </c>
      <c r="L4033" t="n">
        <v>0</v>
      </c>
      <c r="M4033" t="n">
        <v>0</v>
      </c>
      <c r="N4033" t="n">
        <v>0</v>
      </c>
      <c r="O4033" t="n">
        <v>0</v>
      </c>
      <c r="P4033" t="n">
        <v>0</v>
      </c>
      <c r="Q4033" t="n">
        <v>0</v>
      </c>
      <c r="R4033" s="2" t="inlineStr"/>
    </row>
    <row r="4034" ht="15" customHeight="1">
      <c r="A4034" t="inlineStr">
        <is>
          <t>A 69483-2021</t>
        </is>
      </c>
      <c r="B4034" s="1" t="n">
        <v>44531</v>
      </c>
      <c r="C4034" s="1" t="n">
        <v>45210</v>
      </c>
      <c r="D4034" t="inlineStr">
        <is>
          <t>DALARNAS LÄN</t>
        </is>
      </c>
      <c r="E4034" t="inlineStr">
        <is>
          <t>MORA</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69525-2021</t>
        </is>
      </c>
      <c r="B4035" s="1" t="n">
        <v>44531</v>
      </c>
      <c r="C4035" s="1" t="n">
        <v>45210</v>
      </c>
      <c r="D4035" t="inlineStr">
        <is>
          <t>DALARNAS LÄN</t>
        </is>
      </c>
      <c r="E4035" t="inlineStr">
        <is>
          <t>LEKSAND</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69335-2021</t>
        </is>
      </c>
      <c r="B4036" s="1" t="n">
        <v>44531</v>
      </c>
      <c r="C4036" s="1" t="n">
        <v>45210</v>
      </c>
      <c r="D4036" t="inlineStr">
        <is>
          <t>DALARNAS LÄN</t>
        </is>
      </c>
      <c r="E4036" t="inlineStr">
        <is>
          <t>SMEDJEBACKEN</t>
        </is>
      </c>
      <c r="F4036" t="inlineStr">
        <is>
          <t>Sveaskog</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69381-2021</t>
        </is>
      </c>
      <c r="B4037" s="1" t="n">
        <v>44531</v>
      </c>
      <c r="C4037" s="1" t="n">
        <v>45210</v>
      </c>
      <c r="D4037" t="inlineStr">
        <is>
          <t>DALARNAS LÄN</t>
        </is>
      </c>
      <c r="E4037" t="inlineStr">
        <is>
          <t>MALUNG-SÄLEN</t>
        </is>
      </c>
      <c r="F4037" t="inlineStr">
        <is>
          <t>Allmännings- och besparingsskogar</t>
        </is>
      </c>
      <c r="G4037" t="n">
        <v>20.1</v>
      </c>
      <c r="H4037" t="n">
        <v>0</v>
      </c>
      <c r="I4037" t="n">
        <v>0</v>
      </c>
      <c r="J4037" t="n">
        <v>0</v>
      </c>
      <c r="K4037" t="n">
        <v>0</v>
      </c>
      <c r="L4037" t="n">
        <v>0</v>
      </c>
      <c r="M4037" t="n">
        <v>0</v>
      </c>
      <c r="N4037" t="n">
        <v>0</v>
      </c>
      <c r="O4037" t="n">
        <v>0</v>
      </c>
      <c r="P4037" t="n">
        <v>0</v>
      </c>
      <c r="Q4037" t="n">
        <v>0</v>
      </c>
      <c r="R4037" s="2" t="inlineStr"/>
    </row>
    <row r="4038" ht="15" customHeight="1">
      <c r="A4038" t="inlineStr">
        <is>
          <t>A 69334-2021</t>
        </is>
      </c>
      <c r="B4038" s="1" t="n">
        <v>44531</v>
      </c>
      <c r="C4038" s="1" t="n">
        <v>45210</v>
      </c>
      <c r="D4038" t="inlineStr">
        <is>
          <t>DALARNAS LÄN</t>
        </is>
      </c>
      <c r="E4038" t="inlineStr">
        <is>
          <t>SMEDJEBACKEN</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69721-2021</t>
        </is>
      </c>
      <c r="B4039" s="1" t="n">
        <v>44532</v>
      </c>
      <c r="C4039" s="1" t="n">
        <v>45210</v>
      </c>
      <c r="D4039" t="inlineStr">
        <is>
          <t>DALARNAS LÄN</t>
        </is>
      </c>
      <c r="E4039" t="inlineStr">
        <is>
          <t>ORSA</t>
        </is>
      </c>
      <c r="G4039" t="n">
        <v>3.4</v>
      </c>
      <c r="H4039" t="n">
        <v>0</v>
      </c>
      <c r="I4039" t="n">
        <v>0</v>
      </c>
      <c r="J4039" t="n">
        <v>0</v>
      </c>
      <c r="K4039" t="n">
        <v>0</v>
      </c>
      <c r="L4039" t="n">
        <v>0</v>
      </c>
      <c r="M4039" t="n">
        <v>0</v>
      </c>
      <c r="N4039" t="n">
        <v>0</v>
      </c>
      <c r="O4039" t="n">
        <v>0</v>
      </c>
      <c r="P4039" t="n">
        <v>0</v>
      </c>
      <c r="Q4039" t="n">
        <v>0</v>
      </c>
      <c r="R4039" s="2" t="inlineStr"/>
    </row>
    <row r="4040" ht="15" customHeight="1">
      <c r="A4040" t="inlineStr">
        <is>
          <t>A 69780-2021</t>
        </is>
      </c>
      <c r="B4040" s="1" t="n">
        <v>44532</v>
      </c>
      <c r="C4040" s="1" t="n">
        <v>45210</v>
      </c>
      <c r="D4040" t="inlineStr">
        <is>
          <t>DALARNAS LÄN</t>
        </is>
      </c>
      <c r="E4040" t="inlineStr">
        <is>
          <t>FALUN</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70141-2021</t>
        </is>
      </c>
      <c r="B4041" s="1" t="n">
        <v>44533</v>
      </c>
      <c r="C4041" s="1" t="n">
        <v>45210</v>
      </c>
      <c r="D4041" t="inlineStr">
        <is>
          <t>DALARNAS LÄN</t>
        </is>
      </c>
      <c r="E4041" t="inlineStr">
        <is>
          <t>MORA</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70098-2021</t>
        </is>
      </c>
      <c r="B4042" s="1" t="n">
        <v>44533</v>
      </c>
      <c r="C4042" s="1" t="n">
        <v>45210</v>
      </c>
      <c r="D4042" t="inlineStr">
        <is>
          <t>DALARNAS LÄN</t>
        </is>
      </c>
      <c r="E4042" t="inlineStr">
        <is>
          <t>LEKSAND</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70026-2021</t>
        </is>
      </c>
      <c r="B4043" s="1" t="n">
        <v>44533</v>
      </c>
      <c r="C4043" s="1" t="n">
        <v>45210</v>
      </c>
      <c r="D4043" t="inlineStr">
        <is>
          <t>DALARNAS LÄN</t>
        </is>
      </c>
      <c r="E4043" t="inlineStr">
        <is>
          <t>LEKSAND</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70065-2021</t>
        </is>
      </c>
      <c r="B4044" s="1" t="n">
        <v>44533</v>
      </c>
      <c r="C4044" s="1" t="n">
        <v>45210</v>
      </c>
      <c r="D4044" t="inlineStr">
        <is>
          <t>DALARNAS LÄN</t>
        </is>
      </c>
      <c r="E4044" t="inlineStr">
        <is>
          <t>MORA</t>
        </is>
      </c>
      <c r="F4044" t="inlineStr">
        <is>
          <t>Bergvik skog öst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70140-2021</t>
        </is>
      </c>
      <c r="B4045" s="1" t="n">
        <v>44533</v>
      </c>
      <c r="C4045" s="1" t="n">
        <v>45210</v>
      </c>
      <c r="D4045" t="inlineStr">
        <is>
          <t>DALARNAS LÄN</t>
        </is>
      </c>
      <c r="E4045" t="inlineStr">
        <is>
          <t>ÄLVDALEN</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70099-2021</t>
        </is>
      </c>
      <c r="B4046" s="1" t="n">
        <v>44533</v>
      </c>
      <c r="C4046" s="1" t="n">
        <v>45210</v>
      </c>
      <c r="D4046" t="inlineStr">
        <is>
          <t>DALARNAS LÄN</t>
        </is>
      </c>
      <c r="E4046" t="inlineStr">
        <is>
          <t>LEKSAND</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70115-2021</t>
        </is>
      </c>
      <c r="B4047" s="1" t="n">
        <v>44533</v>
      </c>
      <c r="C4047" s="1" t="n">
        <v>45210</v>
      </c>
      <c r="D4047" t="inlineStr">
        <is>
          <t>DALARNAS LÄN</t>
        </is>
      </c>
      <c r="E4047" t="inlineStr">
        <is>
          <t>RÄTTVIK</t>
        </is>
      </c>
      <c r="G4047" t="n">
        <v>3.8</v>
      </c>
      <c r="H4047" t="n">
        <v>0</v>
      </c>
      <c r="I4047" t="n">
        <v>0</v>
      </c>
      <c r="J4047" t="n">
        <v>0</v>
      </c>
      <c r="K4047" t="n">
        <v>0</v>
      </c>
      <c r="L4047" t="n">
        <v>0</v>
      </c>
      <c r="M4047" t="n">
        <v>0</v>
      </c>
      <c r="N4047" t="n">
        <v>0</v>
      </c>
      <c r="O4047" t="n">
        <v>0</v>
      </c>
      <c r="P4047" t="n">
        <v>0</v>
      </c>
      <c r="Q4047" t="n">
        <v>0</v>
      </c>
      <c r="R4047" s="2" t="inlineStr"/>
    </row>
    <row r="4048" ht="15" customHeight="1">
      <c r="A4048" t="inlineStr">
        <is>
          <t>A 70332-2021</t>
        </is>
      </c>
      <c r="B4048" s="1" t="n">
        <v>44536</v>
      </c>
      <c r="C4048" s="1" t="n">
        <v>45210</v>
      </c>
      <c r="D4048" t="inlineStr">
        <is>
          <t>DALARNAS LÄN</t>
        </is>
      </c>
      <c r="E4048" t="inlineStr">
        <is>
          <t>ORSA</t>
        </is>
      </c>
      <c r="G4048" t="n">
        <v>7.2</v>
      </c>
      <c r="H4048" t="n">
        <v>0</v>
      </c>
      <c r="I4048" t="n">
        <v>0</v>
      </c>
      <c r="J4048" t="n">
        <v>0</v>
      </c>
      <c r="K4048" t="n">
        <v>0</v>
      </c>
      <c r="L4048" t="n">
        <v>0</v>
      </c>
      <c r="M4048" t="n">
        <v>0</v>
      </c>
      <c r="N4048" t="n">
        <v>0</v>
      </c>
      <c r="O4048" t="n">
        <v>0</v>
      </c>
      <c r="P4048" t="n">
        <v>0</v>
      </c>
      <c r="Q4048" t="n">
        <v>0</v>
      </c>
      <c r="R4048" s="2" t="inlineStr"/>
    </row>
    <row r="4049" ht="15" customHeight="1">
      <c r="A4049" t="inlineStr">
        <is>
          <t>A 70252-2021</t>
        </is>
      </c>
      <c r="B4049" s="1" t="n">
        <v>44536</v>
      </c>
      <c r="C4049" s="1" t="n">
        <v>45210</v>
      </c>
      <c r="D4049" t="inlineStr">
        <is>
          <t>DALARNAS LÄN</t>
        </is>
      </c>
      <c r="E4049" t="inlineStr">
        <is>
          <t>ÄLVDALEN</t>
        </is>
      </c>
      <c r="F4049" t="inlineStr">
        <is>
          <t>Sveaskog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70330-2021</t>
        </is>
      </c>
      <c r="B4050" s="1" t="n">
        <v>44536</v>
      </c>
      <c r="C4050" s="1" t="n">
        <v>45210</v>
      </c>
      <c r="D4050" t="inlineStr">
        <is>
          <t>DALARNAS LÄN</t>
        </is>
      </c>
      <c r="E4050" t="inlineStr">
        <is>
          <t>VANSBRO</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70451-2021</t>
        </is>
      </c>
      <c r="B4051" s="1" t="n">
        <v>44536</v>
      </c>
      <c r="C4051" s="1" t="n">
        <v>45210</v>
      </c>
      <c r="D4051" t="inlineStr">
        <is>
          <t>DALARNAS LÄN</t>
        </is>
      </c>
      <c r="E4051" t="inlineStr">
        <is>
          <t>LEKSAND</t>
        </is>
      </c>
      <c r="G4051" t="n">
        <v>3.7</v>
      </c>
      <c r="H4051" t="n">
        <v>0</v>
      </c>
      <c r="I4051" t="n">
        <v>0</v>
      </c>
      <c r="J4051" t="n">
        <v>0</v>
      </c>
      <c r="K4051" t="n">
        <v>0</v>
      </c>
      <c r="L4051" t="n">
        <v>0</v>
      </c>
      <c r="M4051" t="n">
        <v>0</v>
      </c>
      <c r="N4051" t="n">
        <v>0</v>
      </c>
      <c r="O4051" t="n">
        <v>0</v>
      </c>
      <c r="P4051" t="n">
        <v>0</v>
      </c>
      <c r="Q4051" t="n">
        <v>0</v>
      </c>
      <c r="R4051" s="2" t="inlineStr"/>
    </row>
    <row r="4052" ht="15" customHeight="1">
      <c r="A4052" t="inlineStr">
        <is>
          <t>A 70647-2021</t>
        </is>
      </c>
      <c r="B4052" s="1" t="n">
        <v>44537</v>
      </c>
      <c r="C4052" s="1" t="n">
        <v>45210</v>
      </c>
      <c r="D4052" t="inlineStr">
        <is>
          <t>DALARNAS LÄN</t>
        </is>
      </c>
      <c r="E4052" t="inlineStr">
        <is>
          <t>MALUNG-SÄLEN</t>
        </is>
      </c>
      <c r="G4052" t="n">
        <v>8.1</v>
      </c>
      <c r="H4052" t="n">
        <v>0</v>
      </c>
      <c r="I4052" t="n">
        <v>0</v>
      </c>
      <c r="J4052" t="n">
        <v>0</v>
      </c>
      <c r="K4052" t="n">
        <v>0</v>
      </c>
      <c r="L4052" t="n">
        <v>0</v>
      </c>
      <c r="M4052" t="n">
        <v>0</v>
      </c>
      <c r="N4052" t="n">
        <v>0</v>
      </c>
      <c r="O4052" t="n">
        <v>0</v>
      </c>
      <c r="P4052" t="n">
        <v>0</v>
      </c>
      <c r="Q4052" t="n">
        <v>0</v>
      </c>
      <c r="R4052" s="2" t="inlineStr"/>
    </row>
    <row r="4053" ht="15" customHeight="1">
      <c r="A4053" t="inlineStr">
        <is>
          <t>A 70937-2021</t>
        </is>
      </c>
      <c r="B4053" s="1" t="n">
        <v>44537</v>
      </c>
      <c r="C4053" s="1" t="n">
        <v>45210</v>
      </c>
      <c r="D4053" t="inlineStr">
        <is>
          <t>DALARNAS LÄN</t>
        </is>
      </c>
      <c r="E4053" t="inlineStr">
        <is>
          <t>SMEDJEBACKEN</t>
        </is>
      </c>
      <c r="F4053" t="inlineStr">
        <is>
          <t>Bergvik skog väst AB</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70730-2021</t>
        </is>
      </c>
      <c r="B4054" s="1" t="n">
        <v>44537</v>
      </c>
      <c r="C4054" s="1" t="n">
        <v>45210</v>
      </c>
      <c r="D4054" t="inlineStr">
        <is>
          <t>DALARNAS LÄN</t>
        </is>
      </c>
      <c r="E4054" t="inlineStr">
        <is>
          <t>RÄTTVIK</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70990-2021</t>
        </is>
      </c>
      <c r="B4055" s="1" t="n">
        <v>44538</v>
      </c>
      <c r="C4055" s="1" t="n">
        <v>45210</v>
      </c>
      <c r="D4055" t="inlineStr">
        <is>
          <t>DALARNAS LÄN</t>
        </is>
      </c>
      <c r="E4055" t="inlineStr">
        <is>
          <t>ÄLVDALEN</t>
        </is>
      </c>
      <c r="F4055" t="inlineStr">
        <is>
          <t>Kyrkan</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71311-2021</t>
        </is>
      </c>
      <c r="B4056" s="1" t="n">
        <v>44539</v>
      </c>
      <c r="C4056" s="1" t="n">
        <v>45210</v>
      </c>
      <c r="D4056" t="inlineStr">
        <is>
          <t>DALARNAS LÄN</t>
        </is>
      </c>
      <c r="E4056" t="inlineStr">
        <is>
          <t>LEKSAND</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71337-2021</t>
        </is>
      </c>
      <c r="B4057" s="1" t="n">
        <v>44539</v>
      </c>
      <c r="C4057" s="1" t="n">
        <v>45210</v>
      </c>
      <c r="D4057" t="inlineStr">
        <is>
          <t>DALARNAS LÄN</t>
        </is>
      </c>
      <c r="E4057" t="inlineStr">
        <is>
          <t>SMEDJEBACKEN</t>
        </is>
      </c>
      <c r="F4057" t="inlineStr">
        <is>
          <t>Kyrkan</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71282-2021</t>
        </is>
      </c>
      <c r="B4058" s="1" t="n">
        <v>44539</v>
      </c>
      <c r="C4058" s="1" t="n">
        <v>45210</v>
      </c>
      <c r="D4058" t="inlineStr">
        <is>
          <t>DALARNAS LÄN</t>
        </is>
      </c>
      <c r="E4058" t="inlineStr">
        <is>
          <t>ÄLVDALEN</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71549-2021</t>
        </is>
      </c>
      <c r="B4059" s="1" t="n">
        <v>44540</v>
      </c>
      <c r="C4059" s="1" t="n">
        <v>45210</v>
      </c>
      <c r="D4059" t="inlineStr">
        <is>
          <t>DALARNAS LÄN</t>
        </is>
      </c>
      <c r="E4059" t="inlineStr">
        <is>
          <t>GAGNEF</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71859-2021</t>
        </is>
      </c>
      <c r="B4060" s="1" t="n">
        <v>44540</v>
      </c>
      <c r="C4060" s="1" t="n">
        <v>45210</v>
      </c>
      <c r="D4060" t="inlineStr">
        <is>
          <t>DALARNAS LÄN</t>
        </is>
      </c>
      <c r="E4060" t="inlineStr">
        <is>
          <t>MALUNG-SÄLEN</t>
        </is>
      </c>
      <c r="F4060" t="inlineStr">
        <is>
          <t>Allmännings- och besparingsskogar</t>
        </is>
      </c>
      <c r="G4060" t="n">
        <v>3.9</v>
      </c>
      <c r="H4060" t="n">
        <v>0</v>
      </c>
      <c r="I4060" t="n">
        <v>0</v>
      </c>
      <c r="J4060" t="n">
        <v>0</v>
      </c>
      <c r="K4060" t="n">
        <v>0</v>
      </c>
      <c r="L4060" t="n">
        <v>0</v>
      </c>
      <c r="M4060" t="n">
        <v>0</v>
      </c>
      <c r="N4060" t="n">
        <v>0</v>
      </c>
      <c r="O4060" t="n">
        <v>0</v>
      </c>
      <c r="P4060" t="n">
        <v>0</v>
      </c>
      <c r="Q4060" t="n">
        <v>0</v>
      </c>
      <c r="R4060" s="2" t="inlineStr"/>
    </row>
    <row r="4061" ht="15" customHeight="1">
      <c r="A4061" t="inlineStr">
        <is>
          <t>A 72039-2021</t>
        </is>
      </c>
      <c r="B4061" s="1" t="n">
        <v>44540</v>
      </c>
      <c r="C4061" s="1" t="n">
        <v>45210</v>
      </c>
      <c r="D4061" t="inlineStr">
        <is>
          <t>DALARNAS LÄN</t>
        </is>
      </c>
      <c r="E4061" t="inlineStr">
        <is>
          <t>MALUNG-SÄLEN</t>
        </is>
      </c>
      <c r="F4061" t="inlineStr">
        <is>
          <t>Allmännings- och besparingsskogar</t>
        </is>
      </c>
      <c r="G4061" t="n">
        <v>10.2</v>
      </c>
      <c r="H4061" t="n">
        <v>0</v>
      </c>
      <c r="I4061" t="n">
        <v>0</v>
      </c>
      <c r="J4061" t="n">
        <v>0</v>
      </c>
      <c r="K4061" t="n">
        <v>0</v>
      </c>
      <c r="L4061" t="n">
        <v>0</v>
      </c>
      <c r="M4061" t="n">
        <v>0</v>
      </c>
      <c r="N4061" t="n">
        <v>0</v>
      </c>
      <c r="O4061" t="n">
        <v>0</v>
      </c>
      <c r="P4061" t="n">
        <v>0</v>
      </c>
      <c r="Q4061" t="n">
        <v>0</v>
      </c>
      <c r="R4061" s="2" t="inlineStr"/>
    </row>
    <row r="4062" ht="15" customHeight="1">
      <c r="A4062" t="inlineStr">
        <is>
          <t>A 71632-2021</t>
        </is>
      </c>
      <c r="B4062" s="1" t="n">
        <v>44543</v>
      </c>
      <c r="C4062" s="1" t="n">
        <v>45210</v>
      </c>
      <c r="D4062" t="inlineStr">
        <is>
          <t>DALARNAS LÄN</t>
        </is>
      </c>
      <c r="E4062" t="inlineStr">
        <is>
          <t>VANSBRO</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72155-2021</t>
        </is>
      </c>
      <c r="B4063" s="1" t="n">
        <v>44543</v>
      </c>
      <c r="C4063" s="1" t="n">
        <v>45210</v>
      </c>
      <c r="D4063" t="inlineStr">
        <is>
          <t>DALARNAS LÄN</t>
        </is>
      </c>
      <c r="E4063" t="inlineStr">
        <is>
          <t>LEKSAND</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71639-2021</t>
        </is>
      </c>
      <c r="B4064" s="1" t="n">
        <v>44543</v>
      </c>
      <c r="C4064" s="1" t="n">
        <v>45210</v>
      </c>
      <c r="D4064" t="inlineStr">
        <is>
          <t>DALARNAS LÄN</t>
        </is>
      </c>
      <c r="E4064" t="inlineStr">
        <is>
          <t>LUDVIKA</t>
        </is>
      </c>
      <c r="F4064" t="inlineStr">
        <is>
          <t>Naturvårdsverket</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71702-2021</t>
        </is>
      </c>
      <c r="B4065" s="1" t="n">
        <v>44543</v>
      </c>
      <c r="C4065" s="1" t="n">
        <v>45210</v>
      </c>
      <c r="D4065" t="inlineStr">
        <is>
          <t>DALARNAS LÄN</t>
        </is>
      </c>
      <c r="E4065" t="inlineStr">
        <is>
          <t>MORA</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71744-2021</t>
        </is>
      </c>
      <c r="B4066" s="1" t="n">
        <v>44543</v>
      </c>
      <c r="C4066" s="1" t="n">
        <v>45210</v>
      </c>
      <c r="D4066" t="inlineStr">
        <is>
          <t>DALARNAS LÄN</t>
        </is>
      </c>
      <c r="E4066" t="inlineStr">
        <is>
          <t>ORSA</t>
        </is>
      </c>
      <c r="F4066" t="inlineStr">
        <is>
          <t>Kyrkan</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71652-2021</t>
        </is>
      </c>
      <c r="B4067" s="1" t="n">
        <v>44543</v>
      </c>
      <c r="C4067" s="1" t="n">
        <v>45210</v>
      </c>
      <c r="D4067" t="inlineStr">
        <is>
          <t>DALARNAS LÄN</t>
        </is>
      </c>
      <c r="E4067" t="inlineStr">
        <is>
          <t>ÄLVDALEN</t>
        </is>
      </c>
      <c r="G4067" t="n">
        <v>4.3</v>
      </c>
      <c r="H4067" t="n">
        <v>0</v>
      </c>
      <c r="I4067" t="n">
        <v>0</v>
      </c>
      <c r="J4067" t="n">
        <v>0</v>
      </c>
      <c r="K4067" t="n">
        <v>0</v>
      </c>
      <c r="L4067" t="n">
        <v>0</v>
      </c>
      <c r="M4067" t="n">
        <v>0</v>
      </c>
      <c r="N4067" t="n">
        <v>0</v>
      </c>
      <c r="O4067" t="n">
        <v>0</v>
      </c>
      <c r="P4067" t="n">
        <v>0</v>
      </c>
      <c r="Q4067" t="n">
        <v>0</v>
      </c>
      <c r="R4067" s="2" t="inlineStr"/>
    </row>
    <row r="4068" ht="15" customHeight="1">
      <c r="A4068" t="inlineStr">
        <is>
          <t>A 72000-2021</t>
        </is>
      </c>
      <c r="B4068" s="1" t="n">
        <v>44544</v>
      </c>
      <c r="C4068" s="1" t="n">
        <v>45210</v>
      </c>
      <c r="D4068" t="inlineStr">
        <is>
          <t>DALARNAS LÄN</t>
        </is>
      </c>
      <c r="E4068" t="inlineStr">
        <is>
          <t>LEKSAND</t>
        </is>
      </c>
      <c r="F4068" t="inlineStr">
        <is>
          <t>Bergvik skog väst AB</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72010-2021</t>
        </is>
      </c>
      <c r="B4069" s="1" t="n">
        <v>44544</v>
      </c>
      <c r="C4069" s="1" t="n">
        <v>45210</v>
      </c>
      <c r="D4069" t="inlineStr">
        <is>
          <t>DALARNAS LÄN</t>
        </is>
      </c>
      <c r="E4069" t="inlineStr">
        <is>
          <t>RÄTTVIK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72310-2021</t>
        </is>
      </c>
      <c r="B4070" s="1" t="n">
        <v>44545</v>
      </c>
      <c r="C4070" s="1" t="n">
        <v>45210</v>
      </c>
      <c r="D4070" t="inlineStr">
        <is>
          <t>DALARNAS LÄN</t>
        </is>
      </c>
      <c r="E4070" t="inlineStr">
        <is>
          <t>ORSA</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72780-2021</t>
        </is>
      </c>
      <c r="B4071" s="1" t="n">
        <v>44545</v>
      </c>
      <c r="C4071" s="1" t="n">
        <v>45210</v>
      </c>
      <c r="D4071" t="inlineStr">
        <is>
          <t>DALARNAS LÄN</t>
        </is>
      </c>
      <c r="E4071" t="inlineStr">
        <is>
          <t>MORA</t>
        </is>
      </c>
      <c r="F4071" t="inlineStr">
        <is>
          <t>Allmännings- och besparingsskogar</t>
        </is>
      </c>
      <c r="G4071" t="n">
        <v>1</v>
      </c>
      <c r="H4071" t="n">
        <v>0</v>
      </c>
      <c r="I4071" t="n">
        <v>0</v>
      </c>
      <c r="J4071" t="n">
        <v>0</v>
      </c>
      <c r="K4071" t="n">
        <v>0</v>
      </c>
      <c r="L4071" t="n">
        <v>0</v>
      </c>
      <c r="M4071" t="n">
        <v>0</v>
      </c>
      <c r="N4071" t="n">
        <v>0</v>
      </c>
      <c r="O4071" t="n">
        <v>0</v>
      </c>
      <c r="P4071" t="n">
        <v>0</v>
      </c>
      <c r="Q4071" t="n">
        <v>0</v>
      </c>
      <c r="R4071" s="2" t="inlineStr"/>
    </row>
    <row r="4072" ht="15" customHeight="1">
      <c r="A4072" t="inlineStr">
        <is>
          <t>A 72813-2021</t>
        </is>
      </c>
      <c r="B4072" s="1" t="n">
        <v>44546</v>
      </c>
      <c r="C4072" s="1" t="n">
        <v>45210</v>
      </c>
      <c r="D4072" t="inlineStr">
        <is>
          <t>DALARNAS LÄN</t>
        </is>
      </c>
      <c r="E4072" t="inlineStr">
        <is>
          <t>ÄLVDALEN</t>
        </is>
      </c>
      <c r="G4072" t="n">
        <v>4.2</v>
      </c>
      <c r="H4072" t="n">
        <v>0</v>
      </c>
      <c r="I4072" t="n">
        <v>0</v>
      </c>
      <c r="J4072" t="n">
        <v>0</v>
      </c>
      <c r="K4072" t="n">
        <v>0</v>
      </c>
      <c r="L4072" t="n">
        <v>0</v>
      </c>
      <c r="M4072" t="n">
        <v>0</v>
      </c>
      <c r="N4072" t="n">
        <v>0</v>
      </c>
      <c r="O4072" t="n">
        <v>0</v>
      </c>
      <c r="P4072" t="n">
        <v>0</v>
      </c>
      <c r="Q4072" t="n">
        <v>0</v>
      </c>
      <c r="R4072" s="2" t="inlineStr"/>
    </row>
    <row r="4073" ht="15" customHeight="1">
      <c r="A4073" t="inlineStr">
        <is>
          <t>A 72635-2021</t>
        </is>
      </c>
      <c r="B4073" s="1" t="n">
        <v>44546</v>
      </c>
      <c r="C4073" s="1" t="n">
        <v>45210</v>
      </c>
      <c r="D4073" t="inlineStr">
        <is>
          <t>DALARNAS LÄN</t>
        </is>
      </c>
      <c r="E4073" t="inlineStr">
        <is>
          <t>VANSBRO</t>
        </is>
      </c>
      <c r="F4073" t="inlineStr">
        <is>
          <t>Bergvik skog väst AB</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73099-2021</t>
        </is>
      </c>
      <c r="B4074" s="1" t="n">
        <v>44546</v>
      </c>
      <c r="C4074" s="1" t="n">
        <v>45210</v>
      </c>
      <c r="D4074" t="inlineStr">
        <is>
          <t>DALARNAS LÄN</t>
        </is>
      </c>
      <c r="E4074" t="inlineStr">
        <is>
          <t>HEDEMORA</t>
        </is>
      </c>
      <c r="G4074" t="n">
        <v>4.5</v>
      </c>
      <c r="H4074" t="n">
        <v>0</v>
      </c>
      <c r="I4074" t="n">
        <v>0</v>
      </c>
      <c r="J4074" t="n">
        <v>0</v>
      </c>
      <c r="K4074" t="n">
        <v>0</v>
      </c>
      <c r="L4074" t="n">
        <v>0</v>
      </c>
      <c r="M4074" t="n">
        <v>0</v>
      </c>
      <c r="N4074" t="n">
        <v>0</v>
      </c>
      <c r="O4074" t="n">
        <v>0</v>
      </c>
      <c r="P4074" t="n">
        <v>0</v>
      </c>
      <c r="Q4074" t="n">
        <v>0</v>
      </c>
      <c r="R4074" s="2" t="inlineStr"/>
    </row>
    <row r="4075" ht="15" customHeight="1">
      <c r="A4075" t="inlineStr">
        <is>
          <t>A 72575-2021</t>
        </is>
      </c>
      <c r="B4075" s="1" t="n">
        <v>44546</v>
      </c>
      <c r="C4075" s="1" t="n">
        <v>45210</v>
      </c>
      <c r="D4075" t="inlineStr">
        <is>
          <t>DALARNAS LÄN</t>
        </is>
      </c>
      <c r="E4075" t="inlineStr">
        <is>
          <t>LEKSAND</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72846-2021</t>
        </is>
      </c>
      <c r="B4076" s="1" t="n">
        <v>44547</v>
      </c>
      <c r="C4076" s="1" t="n">
        <v>45210</v>
      </c>
      <c r="D4076" t="inlineStr">
        <is>
          <t>DALARNAS LÄN</t>
        </is>
      </c>
      <c r="E4076" t="inlineStr">
        <is>
          <t>ÄLVDALEN</t>
        </is>
      </c>
      <c r="F4076" t="inlineStr">
        <is>
          <t>Bergvik skog öst AB</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72837-2021</t>
        </is>
      </c>
      <c r="B4077" s="1" t="n">
        <v>44547</v>
      </c>
      <c r="C4077" s="1" t="n">
        <v>45210</v>
      </c>
      <c r="D4077" t="inlineStr">
        <is>
          <t>DALARNAS LÄN</t>
        </is>
      </c>
      <c r="E4077" t="inlineStr">
        <is>
          <t>BORLÄNGE</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72978-2021</t>
        </is>
      </c>
      <c r="B4078" s="1" t="n">
        <v>44549</v>
      </c>
      <c r="C4078" s="1" t="n">
        <v>45210</v>
      </c>
      <c r="D4078" t="inlineStr">
        <is>
          <t>DALARNAS LÄN</t>
        </is>
      </c>
      <c r="E4078" t="inlineStr">
        <is>
          <t>GAGNEF</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72999-2021</t>
        </is>
      </c>
      <c r="B4079" s="1" t="n">
        <v>44550</v>
      </c>
      <c r="C4079" s="1" t="n">
        <v>45210</v>
      </c>
      <c r="D4079" t="inlineStr">
        <is>
          <t>DALARNAS LÄN</t>
        </is>
      </c>
      <c r="E4079" t="inlineStr">
        <is>
          <t>BORLÄNGE</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73175-2021</t>
        </is>
      </c>
      <c r="B4080" s="1" t="n">
        <v>44550</v>
      </c>
      <c r="C4080" s="1" t="n">
        <v>45210</v>
      </c>
      <c r="D4080" t="inlineStr">
        <is>
          <t>DALARNAS LÄN</t>
        </is>
      </c>
      <c r="E4080" t="inlineStr">
        <is>
          <t>MALUNG-SÄLEN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73001-2021</t>
        </is>
      </c>
      <c r="B4081" s="1" t="n">
        <v>44550</v>
      </c>
      <c r="C4081" s="1" t="n">
        <v>45210</v>
      </c>
      <c r="D4081" t="inlineStr">
        <is>
          <t>DALARNAS LÄN</t>
        </is>
      </c>
      <c r="E4081" t="inlineStr">
        <is>
          <t>BORLÄNGE</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73350-2021</t>
        </is>
      </c>
      <c r="B4082" s="1" t="n">
        <v>44551</v>
      </c>
      <c r="C4082" s="1" t="n">
        <v>45210</v>
      </c>
      <c r="D4082" t="inlineStr">
        <is>
          <t>DALARNAS LÄN</t>
        </is>
      </c>
      <c r="E4082" t="inlineStr">
        <is>
          <t>RÄTTVIK</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73377-2021</t>
        </is>
      </c>
      <c r="B4083" s="1" t="n">
        <v>44551</v>
      </c>
      <c r="C4083" s="1" t="n">
        <v>45210</v>
      </c>
      <c r="D4083" t="inlineStr">
        <is>
          <t>DALARNAS LÄN</t>
        </is>
      </c>
      <c r="E4083" t="inlineStr">
        <is>
          <t>AVESTA</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73703-2021</t>
        </is>
      </c>
      <c r="B4084" s="1" t="n">
        <v>44552</v>
      </c>
      <c r="C4084" s="1" t="n">
        <v>45210</v>
      </c>
      <c r="D4084" t="inlineStr">
        <is>
          <t>DALARNAS LÄN</t>
        </is>
      </c>
      <c r="E4084" t="inlineStr">
        <is>
          <t>LUDVIKA</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73681-2021</t>
        </is>
      </c>
      <c r="B4085" s="1" t="n">
        <v>44552</v>
      </c>
      <c r="C4085" s="1" t="n">
        <v>45210</v>
      </c>
      <c r="D4085" t="inlineStr">
        <is>
          <t>DALARNAS LÄN</t>
        </is>
      </c>
      <c r="E4085" t="inlineStr">
        <is>
          <t>MALUNG-SÄLEN</t>
        </is>
      </c>
      <c r="F4085" t="inlineStr">
        <is>
          <t>Bergvik skog väst AB</t>
        </is>
      </c>
      <c r="G4085" t="n">
        <v>6.2</v>
      </c>
      <c r="H4085" t="n">
        <v>0</v>
      </c>
      <c r="I4085" t="n">
        <v>0</v>
      </c>
      <c r="J4085" t="n">
        <v>0</v>
      </c>
      <c r="K4085" t="n">
        <v>0</v>
      </c>
      <c r="L4085" t="n">
        <v>0</v>
      </c>
      <c r="M4085" t="n">
        <v>0</v>
      </c>
      <c r="N4085" t="n">
        <v>0</v>
      </c>
      <c r="O4085" t="n">
        <v>0</v>
      </c>
      <c r="P4085" t="n">
        <v>0</v>
      </c>
      <c r="Q4085" t="n">
        <v>0</v>
      </c>
      <c r="R4085" s="2" t="inlineStr"/>
    </row>
    <row r="4086" ht="15" customHeight="1">
      <c r="A4086" t="inlineStr">
        <is>
          <t>A 73899-2021</t>
        </is>
      </c>
      <c r="B4086" s="1" t="n">
        <v>44552</v>
      </c>
      <c r="C4086" s="1" t="n">
        <v>45210</v>
      </c>
      <c r="D4086" t="inlineStr">
        <is>
          <t>DALARNAS LÄN</t>
        </is>
      </c>
      <c r="E4086" t="inlineStr">
        <is>
          <t>RÄTTVIK</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73691-2021</t>
        </is>
      </c>
      <c r="B4087" s="1" t="n">
        <v>44552</v>
      </c>
      <c r="C4087" s="1" t="n">
        <v>45210</v>
      </c>
      <c r="D4087" t="inlineStr">
        <is>
          <t>DALARNAS LÄN</t>
        </is>
      </c>
      <c r="E4087" t="inlineStr">
        <is>
          <t>ÄLVDALEN</t>
        </is>
      </c>
      <c r="F4087" t="inlineStr">
        <is>
          <t>Bergvik skog väst AB</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73930-2021</t>
        </is>
      </c>
      <c r="B4088" s="1" t="n">
        <v>44553</v>
      </c>
      <c r="C4088" s="1" t="n">
        <v>45210</v>
      </c>
      <c r="D4088" t="inlineStr">
        <is>
          <t>DALARNAS LÄN</t>
        </is>
      </c>
      <c r="E4088" t="inlineStr">
        <is>
          <t>MORA</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74067-2021</t>
        </is>
      </c>
      <c r="B4089" s="1" t="n">
        <v>44553</v>
      </c>
      <c r="C4089" s="1" t="n">
        <v>45210</v>
      </c>
      <c r="D4089" t="inlineStr">
        <is>
          <t>DALARNAS LÄN</t>
        </is>
      </c>
      <c r="E4089" t="inlineStr">
        <is>
          <t>LEKSAND</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74322-2021</t>
        </is>
      </c>
      <c r="B4090" s="1" t="n">
        <v>44558</v>
      </c>
      <c r="C4090" s="1" t="n">
        <v>45210</v>
      </c>
      <c r="D4090" t="inlineStr">
        <is>
          <t>DALARNAS LÄN</t>
        </is>
      </c>
      <c r="E4090" t="inlineStr">
        <is>
          <t>ÄLVDALEN</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74196-2021</t>
        </is>
      </c>
      <c r="B4091" s="1" t="n">
        <v>44558</v>
      </c>
      <c r="C4091" s="1" t="n">
        <v>45210</v>
      </c>
      <c r="D4091" t="inlineStr">
        <is>
          <t>DALARNAS LÄN</t>
        </is>
      </c>
      <c r="E4091" t="inlineStr">
        <is>
          <t>FALUN</t>
        </is>
      </c>
      <c r="G4091" t="n">
        <v>2.7</v>
      </c>
      <c r="H4091" t="n">
        <v>0</v>
      </c>
      <c r="I4091" t="n">
        <v>0</v>
      </c>
      <c r="J4091" t="n">
        <v>0</v>
      </c>
      <c r="K4091" t="n">
        <v>0</v>
      </c>
      <c r="L4091" t="n">
        <v>0</v>
      </c>
      <c r="M4091" t="n">
        <v>0</v>
      </c>
      <c r="N4091" t="n">
        <v>0</v>
      </c>
      <c r="O4091" t="n">
        <v>0</v>
      </c>
      <c r="P4091" t="n">
        <v>0</v>
      </c>
      <c r="Q4091" t="n">
        <v>0</v>
      </c>
      <c r="R4091" s="2" t="inlineStr"/>
    </row>
    <row r="4092" ht="15" customHeight="1">
      <c r="A4092" t="inlineStr">
        <is>
          <t>A 74324-2021</t>
        </is>
      </c>
      <c r="B4092" s="1" t="n">
        <v>44558</v>
      </c>
      <c r="C4092" s="1" t="n">
        <v>45210</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74333-2021</t>
        </is>
      </c>
      <c r="B4093" s="1" t="n">
        <v>44559</v>
      </c>
      <c r="C4093" s="1" t="n">
        <v>45210</v>
      </c>
      <c r="D4093" t="inlineStr">
        <is>
          <t>DALARNAS LÄN</t>
        </is>
      </c>
      <c r="E4093" t="inlineStr">
        <is>
          <t>RÄTTVIK</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74336-2021</t>
        </is>
      </c>
      <c r="B4094" s="1" t="n">
        <v>44559</v>
      </c>
      <c r="C4094" s="1" t="n">
        <v>45210</v>
      </c>
      <c r="D4094" t="inlineStr">
        <is>
          <t>DALARNAS LÄN</t>
        </is>
      </c>
      <c r="E4094" t="inlineStr">
        <is>
          <t>GAGNEF</t>
        </is>
      </c>
      <c r="G4094" t="n">
        <v>8.1</v>
      </c>
      <c r="H4094" t="n">
        <v>0</v>
      </c>
      <c r="I4094" t="n">
        <v>0</v>
      </c>
      <c r="J4094" t="n">
        <v>0</v>
      </c>
      <c r="K4094" t="n">
        <v>0</v>
      </c>
      <c r="L4094" t="n">
        <v>0</v>
      </c>
      <c r="M4094" t="n">
        <v>0</v>
      </c>
      <c r="N4094" t="n">
        <v>0</v>
      </c>
      <c r="O4094" t="n">
        <v>0</v>
      </c>
      <c r="P4094" t="n">
        <v>0</v>
      </c>
      <c r="Q4094" t="n">
        <v>0</v>
      </c>
      <c r="R4094" s="2" t="inlineStr"/>
    </row>
    <row r="4095" ht="15" customHeight="1">
      <c r="A4095" t="inlineStr">
        <is>
          <t>A 74501-2021</t>
        </is>
      </c>
      <c r="B4095" s="1" t="n">
        <v>44560</v>
      </c>
      <c r="C4095" s="1" t="n">
        <v>45210</v>
      </c>
      <c r="D4095" t="inlineStr">
        <is>
          <t>DALARNAS LÄN</t>
        </is>
      </c>
      <c r="E4095" t="inlineStr">
        <is>
          <t>VANSBRO</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3-2022</t>
        </is>
      </c>
      <c r="B4096" s="1" t="n">
        <v>44562</v>
      </c>
      <c r="C4096" s="1" t="n">
        <v>45210</v>
      </c>
      <c r="D4096" t="inlineStr">
        <is>
          <t>DALARNAS LÄN</t>
        </is>
      </c>
      <c r="E4096" t="inlineStr">
        <is>
          <t>RÄTTVIK</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15-2022</t>
        </is>
      </c>
      <c r="B4097" s="1" t="n">
        <v>44563</v>
      </c>
      <c r="C4097" s="1" t="n">
        <v>45210</v>
      </c>
      <c r="D4097" t="inlineStr">
        <is>
          <t>DALARNAS LÄN</t>
        </is>
      </c>
      <c r="E4097" t="inlineStr">
        <is>
          <t>SMEDJEBACKEN</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14-2022</t>
        </is>
      </c>
      <c r="B4098" s="1" t="n">
        <v>44563</v>
      </c>
      <c r="C4098" s="1" t="n">
        <v>45210</v>
      </c>
      <c r="D4098" t="inlineStr">
        <is>
          <t>DALARNAS LÄN</t>
        </is>
      </c>
      <c r="E4098" t="inlineStr">
        <is>
          <t>SMEDJEBACKEN</t>
        </is>
      </c>
      <c r="G4098" t="n">
        <v>1.5</v>
      </c>
      <c r="H4098" t="n">
        <v>0</v>
      </c>
      <c r="I4098" t="n">
        <v>0</v>
      </c>
      <c r="J4098" t="n">
        <v>0</v>
      </c>
      <c r="K4098" t="n">
        <v>0</v>
      </c>
      <c r="L4098" t="n">
        <v>0</v>
      </c>
      <c r="M4098" t="n">
        <v>0</v>
      </c>
      <c r="N4098" t="n">
        <v>0</v>
      </c>
      <c r="O4098" t="n">
        <v>0</v>
      </c>
      <c r="P4098" t="n">
        <v>0</v>
      </c>
      <c r="Q4098" t="n">
        <v>0</v>
      </c>
      <c r="R4098" s="2" t="inlineStr"/>
    </row>
    <row r="4099" ht="15" customHeight="1">
      <c r="A4099" t="inlineStr">
        <is>
          <t>A 16-2022</t>
        </is>
      </c>
      <c r="B4099" s="1" t="n">
        <v>44563</v>
      </c>
      <c r="C4099" s="1" t="n">
        <v>45210</v>
      </c>
      <c r="D4099" t="inlineStr">
        <is>
          <t>DALARNAS LÄN</t>
        </is>
      </c>
      <c r="E4099" t="inlineStr">
        <is>
          <t>SMEDJEBACKEN</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96-2022</t>
        </is>
      </c>
      <c r="B4100" s="1" t="n">
        <v>44564</v>
      </c>
      <c r="C4100" s="1" t="n">
        <v>45210</v>
      </c>
      <c r="D4100" t="inlineStr">
        <is>
          <t>DALARNAS LÄN</t>
        </is>
      </c>
      <c r="E4100" t="inlineStr">
        <is>
          <t>FALUN</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97-2022</t>
        </is>
      </c>
      <c r="B4101" s="1" t="n">
        <v>44564</v>
      </c>
      <c r="C4101" s="1" t="n">
        <v>45210</v>
      </c>
      <c r="D4101" t="inlineStr">
        <is>
          <t>DALARNAS LÄN</t>
        </is>
      </c>
      <c r="E4101" t="inlineStr">
        <is>
          <t>FALUN</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111-2022</t>
        </is>
      </c>
      <c r="B4102" s="1" t="n">
        <v>44564</v>
      </c>
      <c r="C4102" s="1" t="n">
        <v>45210</v>
      </c>
      <c r="D4102" t="inlineStr">
        <is>
          <t>DALARNAS LÄN</t>
        </is>
      </c>
      <c r="E4102" t="inlineStr">
        <is>
          <t>MORA</t>
        </is>
      </c>
      <c r="G4102" t="n">
        <v>2</v>
      </c>
      <c r="H4102" t="n">
        <v>0</v>
      </c>
      <c r="I4102" t="n">
        <v>0</v>
      </c>
      <c r="J4102" t="n">
        <v>0</v>
      </c>
      <c r="K4102" t="n">
        <v>0</v>
      </c>
      <c r="L4102" t="n">
        <v>0</v>
      </c>
      <c r="M4102" t="n">
        <v>0</v>
      </c>
      <c r="N4102" t="n">
        <v>0</v>
      </c>
      <c r="O4102" t="n">
        <v>0</v>
      </c>
      <c r="P4102" t="n">
        <v>0</v>
      </c>
      <c r="Q4102" t="n">
        <v>0</v>
      </c>
      <c r="R4102" s="2" t="inlineStr"/>
    </row>
    <row r="4103" ht="15" customHeight="1">
      <c r="A4103" t="inlineStr">
        <is>
          <t>A 160-2022</t>
        </is>
      </c>
      <c r="B4103" s="1" t="n">
        <v>44564</v>
      </c>
      <c r="C4103" s="1" t="n">
        <v>45210</v>
      </c>
      <c r="D4103" t="inlineStr">
        <is>
          <t>DALARNAS LÄN</t>
        </is>
      </c>
      <c r="E4103" t="inlineStr">
        <is>
          <t>ORSA</t>
        </is>
      </c>
      <c r="F4103" t="inlineStr">
        <is>
          <t>Kommuner</t>
        </is>
      </c>
      <c r="G4103" t="n">
        <v>0.1</v>
      </c>
      <c r="H4103" t="n">
        <v>0</v>
      </c>
      <c r="I4103" t="n">
        <v>0</v>
      </c>
      <c r="J4103" t="n">
        <v>0</v>
      </c>
      <c r="K4103" t="n">
        <v>0</v>
      </c>
      <c r="L4103" t="n">
        <v>0</v>
      </c>
      <c r="M4103" t="n">
        <v>0</v>
      </c>
      <c r="N4103" t="n">
        <v>0</v>
      </c>
      <c r="O4103" t="n">
        <v>0</v>
      </c>
      <c r="P4103" t="n">
        <v>0</v>
      </c>
      <c r="Q4103" t="n">
        <v>0</v>
      </c>
      <c r="R4103" s="2" t="inlineStr"/>
    </row>
    <row r="4104" ht="15" customHeight="1">
      <c r="A4104" t="inlineStr">
        <is>
          <t>A 169-2022</t>
        </is>
      </c>
      <c r="B4104" s="1" t="n">
        <v>44564</v>
      </c>
      <c r="C4104" s="1" t="n">
        <v>45210</v>
      </c>
      <c r="D4104" t="inlineStr">
        <is>
          <t>DALARNAS LÄN</t>
        </is>
      </c>
      <c r="E4104" t="inlineStr">
        <is>
          <t>ORSA</t>
        </is>
      </c>
      <c r="F4104" t="inlineStr">
        <is>
          <t>Kommuner</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367-2022</t>
        </is>
      </c>
      <c r="B4105" s="1" t="n">
        <v>44565</v>
      </c>
      <c r="C4105" s="1" t="n">
        <v>45210</v>
      </c>
      <c r="D4105" t="inlineStr">
        <is>
          <t>DALARNAS LÄN</t>
        </is>
      </c>
      <c r="E4105" t="inlineStr">
        <is>
          <t>RÄTTVIK</t>
        </is>
      </c>
      <c r="F4105" t="inlineStr">
        <is>
          <t>Sveaskog</t>
        </is>
      </c>
      <c r="G4105" t="n">
        <v>6.1</v>
      </c>
      <c r="H4105" t="n">
        <v>0</v>
      </c>
      <c r="I4105" t="n">
        <v>0</v>
      </c>
      <c r="J4105" t="n">
        <v>0</v>
      </c>
      <c r="K4105" t="n">
        <v>0</v>
      </c>
      <c r="L4105" t="n">
        <v>0</v>
      </c>
      <c r="M4105" t="n">
        <v>0</v>
      </c>
      <c r="N4105" t="n">
        <v>0</v>
      </c>
      <c r="O4105" t="n">
        <v>0</v>
      </c>
      <c r="P4105" t="n">
        <v>0</v>
      </c>
      <c r="Q4105" t="n">
        <v>0</v>
      </c>
      <c r="R4105" s="2" t="inlineStr"/>
    </row>
    <row r="4106" ht="15" customHeight="1">
      <c r="A4106" t="inlineStr">
        <is>
          <t>A 295-2022</t>
        </is>
      </c>
      <c r="B4106" s="1" t="n">
        <v>44565</v>
      </c>
      <c r="C4106" s="1" t="n">
        <v>45210</v>
      </c>
      <c r="D4106" t="inlineStr">
        <is>
          <t>DALARNAS LÄN</t>
        </is>
      </c>
      <c r="E4106" t="inlineStr">
        <is>
          <t>HEDEMORA</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383-2022</t>
        </is>
      </c>
      <c r="B4107" s="1" t="n">
        <v>44565</v>
      </c>
      <c r="C4107" s="1" t="n">
        <v>45210</v>
      </c>
      <c r="D4107" t="inlineStr">
        <is>
          <t>DALARNAS LÄN</t>
        </is>
      </c>
      <c r="E4107" t="inlineStr">
        <is>
          <t>BORLÄNGE</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542-2022</t>
        </is>
      </c>
      <c r="B4108" s="1" t="n">
        <v>44566</v>
      </c>
      <c r="C4108" s="1" t="n">
        <v>45210</v>
      </c>
      <c r="D4108" t="inlineStr">
        <is>
          <t>DALARNAS LÄN</t>
        </is>
      </c>
      <c r="E4108" t="inlineStr">
        <is>
          <t>SMEDJEBACKEN</t>
        </is>
      </c>
      <c r="F4108" t="inlineStr">
        <is>
          <t>Kyrkan</t>
        </is>
      </c>
      <c r="G4108" t="n">
        <v>2.7</v>
      </c>
      <c r="H4108" t="n">
        <v>0</v>
      </c>
      <c r="I4108" t="n">
        <v>0</v>
      </c>
      <c r="J4108" t="n">
        <v>0</v>
      </c>
      <c r="K4108" t="n">
        <v>0</v>
      </c>
      <c r="L4108" t="n">
        <v>0</v>
      </c>
      <c r="M4108" t="n">
        <v>0</v>
      </c>
      <c r="N4108" t="n">
        <v>0</v>
      </c>
      <c r="O4108" t="n">
        <v>0</v>
      </c>
      <c r="P4108" t="n">
        <v>0</v>
      </c>
      <c r="Q4108" t="n">
        <v>0</v>
      </c>
      <c r="R4108" s="2" t="inlineStr"/>
    </row>
    <row r="4109" ht="15" customHeight="1">
      <c r="A4109" t="inlineStr">
        <is>
          <t>A 540-2022</t>
        </is>
      </c>
      <c r="B4109" s="1" t="n">
        <v>44566</v>
      </c>
      <c r="C4109" s="1" t="n">
        <v>45210</v>
      </c>
      <c r="D4109" t="inlineStr">
        <is>
          <t>DALARNAS LÄN</t>
        </is>
      </c>
      <c r="E4109" t="inlineStr">
        <is>
          <t>SMEDJEBACKEN</t>
        </is>
      </c>
      <c r="F4109" t="inlineStr">
        <is>
          <t>Kyrkan</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558-2022</t>
        </is>
      </c>
      <c r="B4110" s="1" t="n">
        <v>44566</v>
      </c>
      <c r="C4110" s="1" t="n">
        <v>45210</v>
      </c>
      <c r="D4110" t="inlineStr">
        <is>
          <t>DALARNAS LÄN</t>
        </is>
      </c>
      <c r="E4110" t="inlineStr">
        <is>
          <t>FALUN</t>
        </is>
      </c>
      <c r="G4110" t="n">
        <v>3.8</v>
      </c>
      <c r="H4110" t="n">
        <v>0</v>
      </c>
      <c r="I4110" t="n">
        <v>0</v>
      </c>
      <c r="J4110" t="n">
        <v>0</v>
      </c>
      <c r="K4110" t="n">
        <v>0</v>
      </c>
      <c r="L4110" t="n">
        <v>0</v>
      </c>
      <c r="M4110" t="n">
        <v>0</v>
      </c>
      <c r="N4110" t="n">
        <v>0</v>
      </c>
      <c r="O4110" t="n">
        <v>0</v>
      </c>
      <c r="P4110" t="n">
        <v>0</v>
      </c>
      <c r="Q4110" t="n">
        <v>0</v>
      </c>
      <c r="R4110" s="2" t="inlineStr"/>
    </row>
    <row r="4111" ht="15" customHeight="1">
      <c r="A4111" t="inlineStr">
        <is>
          <t>A 646-2022</t>
        </is>
      </c>
      <c r="B4111" s="1" t="n">
        <v>44568</v>
      </c>
      <c r="C4111" s="1" t="n">
        <v>45210</v>
      </c>
      <c r="D4111" t="inlineStr">
        <is>
          <t>DALARNAS LÄN</t>
        </is>
      </c>
      <c r="E4111" t="inlineStr">
        <is>
          <t>SMEDJEBACKEN</t>
        </is>
      </c>
      <c r="G4111" t="n">
        <v>2.2</v>
      </c>
      <c r="H4111" t="n">
        <v>0</v>
      </c>
      <c r="I4111" t="n">
        <v>0</v>
      </c>
      <c r="J4111" t="n">
        <v>0</v>
      </c>
      <c r="K4111" t="n">
        <v>0</v>
      </c>
      <c r="L4111" t="n">
        <v>0</v>
      </c>
      <c r="M4111" t="n">
        <v>0</v>
      </c>
      <c r="N4111" t="n">
        <v>0</v>
      </c>
      <c r="O4111" t="n">
        <v>0</v>
      </c>
      <c r="P4111" t="n">
        <v>0</v>
      </c>
      <c r="Q4111" t="n">
        <v>0</v>
      </c>
      <c r="R4111" s="2" t="inlineStr"/>
    </row>
    <row r="4112" ht="15" customHeight="1">
      <c r="A4112" t="inlineStr">
        <is>
          <t>A 713-2022</t>
        </is>
      </c>
      <c r="B4112" s="1" t="n">
        <v>44568</v>
      </c>
      <c r="C4112" s="1" t="n">
        <v>45210</v>
      </c>
      <c r="D4112" t="inlineStr">
        <is>
          <t>DALARNAS LÄN</t>
        </is>
      </c>
      <c r="E4112" t="inlineStr">
        <is>
          <t>ÄLVDALEN</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791-2022</t>
        </is>
      </c>
      <c r="B4113" s="1" t="n">
        <v>44570</v>
      </c>
      <c r="C4113" s="1" t="n">
        <v>45210</v>
      </c>
      <c r="D4113" t="inlineStr">
        <is>
          <t>DALARNAS LÄN</t>
        </is>
      </c>
      <c r="E4113" t="inlineStr">
        <is>
          <t>LEKSAND</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883-2022</t>
        </is>
      </c>
      <c r="B4114" s="1" t="n">
        <v>44571</v>
      </c>
      <c r="C4114" s="1" t="n">
        <v>45210</v>
      </c>
      <c r="D4114" t="inlineStr">
        <is>
          <t>DALARNAS LÄN</t>
        </is>
      </c>
      <c r="E4114" t="inlineStr">
        <is>
          <t>FALUN</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907-2022</t>
        </is>
      </c>
      <c r="B4115" s="1" t="n">
        <v>44571</v>
      </c>
      <c r="C4115" s="1" t="n">
        <v>45210</v>
      </c>
      <c r="D4115" t="inlineStr">
        <is>
          <t>DALARNAS LÄN</t>
        </is>
      </c>
      <c r="E4115" t="inlineStr">
        <is>
          <t>SMEDJEBACKEN</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1251-2022</t>
        </is>
      </c>
      <c r="B4116" s="1" t="n">
        <v>44572</v>
      </c>
      <c r="C4116" s="1" t="n">
        <v>45210</v>
      </c>
      <c r="D4116" t="inlineStr">
        <is>
          <t>DALARNAS LÄN</t>
        </is>
      </c>
      <c r="E4116" t="inlineStr">
        <is>
          <t>RÄTTVIK</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1276-2022</t>
        </is>
      </c>
      <c r="B4117" s="1" t="n">
        <v>44572</v>
      </c>
      <c r="C4117" s="1" t="n">
        <v>45210</v>
      </c>
      <c r="D4117" t="inlineStr">
        <is>
          <t>DALARNAS LÄN</t>
        </is>
      </c>
      <c r="E4117" t="inlineStr">
        <is>
          <t>SÄTER</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1299-2022</t>
        </is>
      </c>
      <c r="B4118" s="1" t="n">
        <v>44572</v>
      </c>
      <c r="C4118" s="1" t="n">
        <v>45210</v>
      </c>
      <c r="D4118" t="inlineStr">
        <is>
          <t>DALARNAS LÄN</t>
        </is>
      </c>
      <c r="E4118" t="inlineStr">
        <is>
          <t>LUDVIKA</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1305-2022</t>
        </is>
      </c>
      <c r="B4119" s="1" t="n">
        <v>44572</v>
      </c>
      <c r="C4119" s="1" t="n">
        <v>45210</v>
      </c>
      <c r="D4119" t="inlineStr">
        <is>
          <t>DALARNAS LÄN</t>
        </is>
      </c>
      <c r="E4119" t="inlineStr">
        <is>
          <t>SÄTER</t>
        </is>
      </c>
      <c r="G4119" t="n">
        <v>6.6</v>
      </c>
      <c r="H4119" t="n">
        <v>0</v>
      </c>
      <c r="I4119" t="n">
        <v>0</v>
      </c>
      <c r="J4119" t="n">
        <v>0</v>
      </c>
      <c r="K4119" t="n">
        <v>0</v>
      </c>
      <c r="L4119" t="n">
        <v>0</v>
      </c>
      <c r="M4119" t="n">
        <v>0</v>
      </c>
      <c r="N4119" t="n">
        <v>0</v>
      </c>
      <c r="O4119" t="n">
        <v>0</v>
      </c>
      <c r="P4119" t="n">
        <v>0</v>
      </c>
      <c r="Q4119" t="n">
        <v>0</v>
      </c>
      <c r="R4119" s="2" t="inlineStr"/>
    </row>
    <row r="4120" ht="15" customHeight="1">
      <c r="A4120" t="inlineStr">
        <is>
          <t>A 1666-2022</t>
        </is>
      </c>
      <c r="B4120" s="1" t="n">
        <v>44574</v>
      </c>
      <c r="C4120" s="1" t="n">
        <v>45210</v>
      </c>
      <c r="D4120" t="inlineStr">
        <is>
          <t>DALARNAS LÄN</t>
        </is>
      </c>
      <c r="E4120" t="inlineStr">
        <is>
          <t>HEDEMORA</t>
        </is>
      </c>
      <c r="F4120" t="inlineStr">
        <is>
          <t>Sveaskog</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1700-2022</t>
        </is>
      </c>
      <c r="B4121" s="1" t="n">
        <v>44574</v>
      </c>
      <c r="C4121" s="1" t="n">
        <v>45210</v>
      </c>
      <c r="D4121" t="inlineStr">
        <is>
          <t>DALARNAS LÄN</t>
        </is>
      </c>
      <c r="E4121" t="inlineStr">
        <is>
          <t>SMEDJEBACKEN</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1712-2022</t>
        </is>
      </c>
      <c r="B4122" s="1" t="n">
        <v>44574</v>
      </c>
      <c r="C4122" s="1" t="n">
        <v>45210</v>
      </c>
      <c r="D4122" t="inlineStr">
        <is>
          <t>DALARNAS LÄN</t>
        </is>
      </c>
      <c r="E4122" t="inlineStr">
        <is>
          <t>AVESTA</t>
        </is>
      </c>
      <c r="G4122" t="n">
        <v>20.5</v>
      </c>
      <c r="H4122" t="n">
        <v>0</v>
      </c>
      <c r="I4122" t="n">
        <v>0</v>
      </c>
      <c r="J4122" t="n">
        <v>0</v>
      </c>
      <c r="K4122" t="n">
        <v>0</v>
      </c>
      <c r="L4122" t="n">
        <v>0</v>
      </c>
      <c r="M4122" t="n">
        <v>0</v>
      </c>
      <c r="N4122" t="n">
        <v>0</v>
      </c>
      <c r="O4122" t="n">
        <v>0</v>
      </c>
      <c r="P4122" t="n">
        <v>0</v>
      </c>
      <c r="Q4122" t="n">
        <v>0</v>
      </c>
      <c r="R4122" s="2" t="inlineStr"/>
    </row>
    <row r="4123" ht="15" customHeight="1">
      <c r="A4123" t="inlineStr">
        <is>
          <t>A 1917-2022</t>
        </is>
      </c>
      <c r="B4123" s="1" t="n">
        <v>44574</v>
      </c>
      <c r="C4123" s="1" t="n">
        <v>45210</v>
      </c>
      <c r="D4123" t="inlineStr">
        <is>
          <t>DALARNAS LÄN</t>
        </is>
      </c>
      <c r="E4123" t="inlineStr">
        <is>
          <t>HEDEMORA</t>
        </is>
      </c>
      <c r="F4123" t="inlineStr">
        <is>
          <t>Övriga Aktiebolag</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1775-2022</t>
        </is>
      </c>
      <c r="B4124" s="1" t="n">
        <v>44574</v>
      </c>
      <c r="C4124" s="1" t="n">
        <v>45210</v>
      </c>
      <c r="D4124" t="inlineStr">
        <is>
          <t>DALARNAS LÄN</t>
        </is>
      </c>
      <c r="E4124" t="inlineStr">
        <is>
          <t>LEKSAND</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1977-2022</t>
        </is>
      </c>
      <c r="B4125" s="1" t="n">
        <v>44575</v>
      </c>
      <c r="C4125" s="1" t="n">
        <v>45210</v>
      </c>
      <c r="D4125" t="inlineStr">
        <is>
          <t>DALARNAS LÄN</t>
        </is>
      </c>
      <c r="E4125" t="inlineStr">
        <is>
          <t>AVESTA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2008-2022</t>
        </is>
      </c>
      <c r="B4126" s="1" t="n">
        <v>44575</v>
      </c>
      <c r="C4126" s="1" t="n">
        <v>45210</v>
      </c>
      <c r="D4126" t="inlineStr">
        <is>
          <t>DALARNAS LÄN</t>
        </is>
      </c>
      <c r="E4126" t="inlineStr">
        <is>
          <t>BORLÄNGE</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1973-2022</t>
        </is>
      </c>
      <c r="B4127" s="1" t="n">
        <v>44575</v>
      </c>
      <c r="C4127" s="1" t="n">
        <v>45210</v>
      </c>
      <c r="D4127" t="inlineStr">
        <is>
          <t>DALARNAS LÄN</t>
        </is>
      </c>
      <c r="E4127" t="inlineStr">
        <is>
          <t>HEDEMORA</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2181-2022</t>
        </is>
      </c>
      <c r="B4128" s="1" t="n">
        <v>44578</v>
      </c>
      <c r="C4128" s="1" t="n">
        <v>45210</v>
      </c>
      <c r="D4128" t="inlineStr">
        <is>
          <t>DALARNAS LÄN</t>
        </is>
      </c>
      <c r="E4128" t="inlineStr">
        <is>
          <t>RÄTTVIK</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2454-2022</t>
        </is>
      </c>
      <c r="B4129" s="1" t="n">
        <v>44579</v>
      </c>
      <c r="C4129" s="1" t="n">
        <v>45210</v>
      </c>
      <c r="D4129" t="inlineStr">
        <is>
          <t>DALARNAS LÄN</t>
        </is>
      </c>
      <c r="E4129" t="inlineStr">
        <is>
          <t>BORLÄNGE</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2491-2022</t>
        </is>
      </c>
      <c r="B4130" s="1" t="n">
        <v>44579</v>
      </c>
      <c r="C4130" s="1" t="n">
        <v>45210</v>
      </c>
      <c r="D4130" t="inlineStr">
        <is>
          <t>DALARNAS LÄN</t>
        </is>
      </c>
      <c r="E4130" t="inlineStr">
        <is>
          <t>LUDVIKA</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2422-2022</t>
        </is>
      </c>
      <c r="B4131" s="1" t="n">
        <v>44579</v>
      </c>
      <c r="C4131" s="1" t="n">
        <v>45210</v>
      </c>
      <c r="D4131" t="inlineStr">
        <is>
          <t>DALARNAS LÄN</t>
        </is>
      </c>
      <c r="E4131" t="inlineStr">
        <is>
          <t>LUDVIKA</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2623-2022</t>
        </is>
      </c>
      <c r="B4132" s="1" t="n">
        <v>44580</v>
      </c>
      <c r="C4132" s="1" t="n">
        <v>45210</v>
      </c>
      <c r="D4132" t="inlineStr">
        <is>
          <t>DALARNAS LÄN</t>
        </is>
      </c>
      <c r="E4132" t="inlineStr">
        <is>
          <t>SÄTER</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2579-2022</t>
        </is>
      </c>
      <c r="B4133" s="1" t="n">
        <v>44580</v>
      </c>
      <c r="C4133" s="1" t="n">
        <v>45210</v>
      </c>
      <c r="D4133" t="inlineStr">
        <is>
          <t>DALARNAS LÄN</t>
        </is>
      </c>
      <c r="E4133" t="inlineStr">
        <is>
          <t>LEKSAND</t>
        </is>
      </c>
      <c r="G4133" t="n">
        <v>0.3</v>
      </c>
      <c r="H4133" t="n">
        <v>0</v>
      </c>
      <c r="I4133" t="n">
        <v>0</v>
      </c>
      <c r="J4133" t="n">
        <v>0</v>
      </c>
      <c r="K4133" t="n">
        <v>0</v>
      </c>
      <c r="L4133" t="n">
        <v>0</v>
      </c>
      <c r="M4133" t="n">
        <v>0</v>
      </c>
      <c r="N4133" t="n">
        <v>0</v>
      </c>
      <c r="O4133" t="n">
        <v>0</v>
      </c>
      <c r="P4133" t="n">
        <v>0</v>
      </c>
      <c r="Q4133" t="n">
        <v>0</v>
      </c>
      <c r="R4133" s="2" t="inlineStr"/>
    </row>
    <row r="4134" ht="15" customHeight="1">
      <c r="A4134" t="inlineStr">
        <is>
          <t>A 2836-2022</t>
        </is>
      </c>
      <c r="B4134" s="1" t="n">
        <v>44581</v>
      </c>
      <c r="C4134" s="1" t="n">
        <v>45210</v>
      </c>
      <c r="D4134" t="inlineStr">
        <is>
          <t>DALARNAS LÄN</t>
        </is>
      </c>
      <c r="E4134" t="inlineStr">
        <is>
          <t>SMEDJEBACKEN</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2800-2022</t>
        </is>
      </c>
      <c r="B4135" s="1" t="n">
        <v>44581</v>
      </c>
      <c r="C4135" s="1" t="n">
        <v>45210</v>
      </c>
      <c r="D4135" t="inlineStr">
        <is>
          <t>DALARNAS LÄN</t>
        </is>
      </c>
      <c r="E4135" t="inlineStr">
        <is>
          <t>AVESTA</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2865-2022</t>
        </is>
      </c>
      <c r="B4136" s="1" t="n">
        <v>44581</v>
      </c>
      <c r="C4136" s="1" t="n">
        <v>45210</v>
      </c>
      <c r="D4136" t="inlineStr">
        <is>
          <t>DALARNAS LÄN</t>
        </is>
      </c>
      <c r="E4136" t="inlineStr">
        <is>
          <t>MORA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2879-2022</t>
        </is>
      </c>
      <c r="B4137" s="1" t="n">
        <v>44581</v>
      </c>
      <c r="C4137" s="1" t="n">
        <v>45210</v>
      </c>
      <c r="D4137" t="inlineStr">
        <is>
          <t>DALARNAS LÄN</t>
        </is>
      </c>
      <c r="E4137" t="inlineStr">
        <is>
          <t>MORA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2906-2022</t>
        </is>
      </c>
      <c r="B4138" s="1" t="n">
        <v>44581</v>
      </c>
      <c r="C4138" s="1" t="n">
        <v>45210</v>
      </c>
      <c r="D4138" t="inlineStr">
        <is>
          <t>DALARNAS LÄN</t>
        </is>
      </c>
      <c r="E4138" t="inlineStr">
        <is>
          <t>FALUN</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2808-2022</t>
        </is>
      </c>
      <c r="B4139" s="1" t="n">
        <v>44581</v>
      </c>
      <c r="C4139" s="1" t="n">
        <v>45210</v>
      </c>
      <c r="D4139" t="inlineStr">
        <is>
          <t>DALARNAS LÄN</t>
        </is>
      </c>
      <c r="E4139" t="inlineStr">
        <is>
          <t>AVESTA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2838-2022</t>
        </is>
      </c>
      <c r="B4140" s="1" t="n">
        <v>44581</v>
      </c>
      <c r="C4140" s="1" t="n">
        <v>45210</v>
      </c>
      <c r="D4140" t="inlineStr">
        <is>
          <t>DALARNAS LÄN</t>
        </is>
      </c>
      <c r="E4140" t="inlineStr">
        <is>
          <t>LUDVIKA</t>
        </is>
      </c>
      <c r="F4140" t="inlineStr">
        <is>
          <t>Bergvik skog väst AB</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3264-2022</t>
        </is>
      </c>
      <c r="B4141" s="1" t="n">
        <v>44583</v>
      </c>
      <c r="C4141" s="1" t="n">
        <v>45210</v>
      </c>
      <c r="D4141" t="inlineStr">
        <is>
          <t>DALARNAS LÄN</t>
        </is>
      </c>
      <c r="E4141" t="inlineStr">
        <is>
          <t>FALUN</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3324-2022</t>
        </is>
      </c>
      <c r="B4142" s="1" t="n">
        <v>44585</v>
      </c>
      <c r="C4142" s="1" t="n">
        <v>45210</v>
      </c>
      <c r="D4142" t="inlineStr">
        <is>
          <t>DALARNAS LÄN</t>
        </is>
      </c>
      <c r="E4142" t="inlineStr">
        <is>
          <t>VANSBRO</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3342-2022</t>
        </is>
      </c>
      <c r="B4143" s="1" t="n">
        <v>44585</v>
      </c>
      <c r="C4143" s="1" t="n">
        <v>45210</v>
      </c>
      <c r="D4143" t="inlineStr">
        <is>
          <t>DALARNAS LÄN</t>
        </is>
      </c>
      <c r="E4143" t="inlineStr">
        <is>
          <t>SÄTER</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3316-2022</t>
        </is>
      </c>
      <c r="B4144" s="1" t="n">
        <v>44585</v>
      </c>
      <c r="C4144" s="1" t="n">
        <v>45210</v>
      </c>
      <c r="D4144" t="inlineStr">
        <is>
          <t>DALARNAS LÄN</t>
        </is>
      </c>
      <c r="E4144" t="inlineStr">
        <is>
          <t>GAGNEF</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3344-2022</t>
        </is>
      </c>
      <c r="B4145" s="1" t="n">
        <v>44585</v>
      </c>
      <c r="C4145" s="1" t="n">
        <v>45210</v>
      </c>
      <c r="D4145" t="inlineStr">
        <is>
          <t>DALARNAS LÄN</t>
        </is>
      </c>
      <c r="E4145" t="inlineStr">
        <is>
          <t>VANSBRO</t>
        </is>
      </c>
      <c r="G4145" t="n">
        <v>4.9</v>
      </c>
      <c r="H4145" t="n">
        <v>0</v>
      </c>
      <c r="I4145" t="n">
        <v>0</v>
      </c>
      <c r="J4145" t="n">
        <v>0</v>
      </c>
      <c r="K4145" t="n">
        <v>0</v>
      </c>
      <c r="L4145" t="n">
        <v>0</v>
      </c>
      <c r="M4145" t="n">
        <v>0</v>
      </c>
      <c r="N4145" t="n">
        <v>0</v>
      </c>
      <c r="O4145" t="n">
        <v>0</v>
      </c>
      <c r="P4145" t="n">
        <v>0</v>
      </c>
      <c r="Q4145" t="n">
        <v>0</v>
      </c>
      <c r="R4145" s="2" t="inlineStr"/>
    </row>
    <row r="4146" ht="15" customHeight="1">
      <c r="A4146" t="inlineStr">
        <is>
          <t>A 3879-2022</t>
        </is>
      </c>
      <c r="B4146" s="1" t="n">
        <v>44586</v>
      </c>
      <c r="C4146" s="1" t="n">
        <v>45210</v>
      </c>
      <c r="D4146" t="inlineStr">
        <is>
          <t>DALARNAS LÄN</t>
        </is>
      </c>
      <c r="E4146" t="inlineStr">
        <is>
          <t>FALUN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3978-2022</t>
        </is>
      </c>
      <c r="B4147" s="1" t="n">
        <v>44587</v>
      </c>
      <c r="C4147" s="1" t="n">
        <v>45210</v>
      </c>
      <c r="D4147" t="inlineStr">
        <is>
          <t>DALARNAS LÄN</t>
        </is>
      </c>
      <c r="E4147" t="inlineStr">
        <is>
          <t>BORLÄNGE</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4144-2022</t>
        </is>
      </c>
      <c r="B4148" s="1" t="n">
        <v>44588</v>
      </c>
      <c r="C4148" s="1" t="n">
        <v>45210</v>
      </c>
      <c r="D4148" t="inlineStr">
        <is>
          <t>DALARNAS LÄN</t>
        </is>
      </c>
      <c r="E4148" t="inlineStr">
        <is>
          <t>ORSA</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4203-2022</t>
        </is>
      </c>
      <c r="B4149" s="1" t="n">
        <v>44588</v>
      </c>
      <c r="C4149" s="1" t="n">
        <v>45210</v>
      </c>
      <c r="D4149" t="inlineStr">
        <is>
          <t>DALARNAS LÄN</t>
        </is>
      </c>
      <c r="E4149" t="inlineStr">
        <is>
          <t>BORLÄNGE</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4030-2022</t>
        </is>
      </c>
      <c r="B4150" s="1" t="n">
        <v>44588</v>
      </c>
      <c r="C4150" s="1" t="n">
        <v>45210</v>
      </c>
      <c r="D4150" t="inlineStr">
        <is>
          <t>DALARNAS LÄN</t>
        </is>
      </c>
      <c r="E4150" t="inlineStr">
        <is>
          <t>HEDEMORA</t>
        </is>
      </c>
      <c r="F4150" t="inlineStr">
        <is>
          <t>Kyrkan</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4257-2022</t>
        </is>
      </c>
      <c r="B4151" s="1" t="n">
        <v>44588</v>
      </c>
      <c r="C4151" s="1" t="n">
        <v>45210</v>
      </c>
      <c r="D4151" t="inlineStr">
        <is>
          <t>DALARNAS LÄN</t>
        </is>
      </c>
      <c r="E4151" t="inlineStr">
        <is>
          <t>LEKSAND</t>
        </is>
      </c>
      <c r="G4151" t="n">
        <v>6.8</v>
      </c>
      <c r="H4151" t="n">
        <v>0</v>
      </c>
      <c r="I4151" t="n">
        <v>0</v>
      </c>
      <c r="J4151" t="n">
        <v>0</v>
      </c>
      <c r="K4151" t="n">
        <v>0</v>
      </c>
      <c r="L4151" t="n">
        <v>0</v>
      </c>
      <c r="M4151" t="n">
        <v>0</v>
      </c>
      <c r="N4151" t="n">
        <v>0</v>
      </c>
      <c r="O4151" t="n">
        <v>0</v>
      </c>
      <c r="P4151" t="n">
        <v>0</v>
      </c>
      <c r="Q4151" t="n">
        <v>0</v>
      </c>
      <c r="R4151" s="2" t="inlineStr"/>
    </row>
    <row r="4152" ht="15" customHeight="1">
      <c r="A4152" t="inlineStr">
        <is>
          <t>A 4420-2022</t>
        </is>
      </c>
      <c r="B4152" s="1" t="n">
        <v>44589</v>
      </c>
      <c r="C4152" s="1" t="n">
        <v>45210</v>
      </c>
      <c r="D4152" t="inlineStr">
        <is>
          <t>DALARNAS LÄN</t>
        </is>
      </c>
      <c r="E4152" t="inlineStr">
        <is>
          <t>MALUNG-SÄLEN</t>
        </is>
      </c>
      <c r="F4152" t="inlineStr">
        <is>
          <t>Bergvik skog väst AB</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4489-2022</t>
        </is>
      </c>
      <c r="B4153" s="1" t="n">
        <v>44589</v>
      </c>
      <c r="C4153" s="1" t="n">
        <v>45210</v>
      </c>
      <c r="D4153" t="inlineStr">
        <is>
          <t>DALARNAS LÄN</t>
        </is>
      </c>
      <c r="E4153" t="inlineStr">
        <is>
          <t>MORA</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4750-2022</t>
        </is>
      </c>
      <c r="B4154" s="1" t="n">
        <v>44592</v>
      </c>
      <c r="C4154" s="1" t="n">
        <v>45210</v>
      </c>
      <c r="D4154" t="inlineStr">
        <is>
          <t>DALARNAS LÄN</t>
        </is>
      </c>
      <c r="E4154" t="inlineStr">
        <is>
          <t>BORLÄNGE</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5232-2022</t>
        </is>
      </c>
      <c r="B4155" s="1" t="n">
        <v>44594</v>
      </c>
      <c r="C4155" s="1" t="n">
        <v>45210</v>
      </c>
      <c r="D4155" t="inlineStr">
        <is>
          <t>DALARNAS LÄN</t>
        </is>
      </c>
      <c r="E4155" t="inlineStr">
        <is>
          <t>SÄTER</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5970-2022</t>
        </is>
      </c>
      <c r="B4156" s="1" t="n">
        <v>44599</v>
      </c>
      <c r="C4156" s="1" t="n">
        <v>45210</v>
      </c>
      <c r="D4156" t="inlineStr">
        <is>
          <t>DALARNAS LÄN</t>
        </is>
      </c>
      <c r="E4156" t="inlineStr">
        <is>
          <t>LUDVIKA</t>
        </is>
      </c>
      <c r="G4156" t="n">
        <v>8.4</v>
      </c>
      <c r="H4156" t="n">
        <v>0</v>
      </c>
      <c r="I4156" t="n">
        <v>0</v>
      </c>
      <c r="J4156" t="n">
        <v>0</v>
      </c>
      <c r="K4156" t="n">
        <v>0</v>
      </c>
      <c r="L4156" t="n">
        <v>0</v>
      </c>
      <c r="M4156" t="n">
        <v>0</v>
      </c>
      <c r="N4156" t="n">
        <v>0</v>
      </c>
      <c r="O4156" t="n">
        <v>0</v>
      </c>
      <c r="P4156" t="n">
        <v>0</v>
      </c>
      <c r="Q4156" t="n">
        <v>0</v>
      </c>
      <c r="R4156" s="2" t="inlineStr"/>
    </row>
    <row r="4157" ht="15" customHeight="1">
      <c r="A4157" t="inlineStr">
        <is>
          <t>A 6106-2022</t>
        </is>
      </c>
      <c r="B4157" s="1" t="n">
        <v>44599</v>
      </c>
      <c r="C4157" s="1" t="n">
        <v>45210</v>
      </c>
      <c r="D4157" t="inlineStr">
        <is>
          <t>DALARNAS LÄN</t>
        </is>
      </c>
      <c r="E4157" t="inlineStr">
        <is>
          <t>MALUNG-SÄLEN</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5981-2022</t>
        </is>
      </c>
      <c r="B4158" s="1" t="n">
        <v>44599</v>
      </c>
      <c r="C4158" s="1" t="n">
        <v>45210</v>
      </c>
      <c r="D4158" t="inlineStr">
        <is>
          <t>DALARNAS LÄN</t>
        </is>
      </c>
      <c r="E4158" t="inlineStr">
        <is>
          <t>ÄLVDALEN</t>
        </is>
      </c>
      <c r="F4158" t="inlineStr">
        <is>
          <t>Allmännings- och besparingsskogar</t>
        </is>
      </c>
      <c r="G4158" t="n">
        <v>9.1</v>
      </c>
      <c r="H4158" t="n">
        <v>0</v>
      </c>
      <c r="I4158" t="n">
        <v>0</v>
      </c>
      <c r="J4158" t="n">
        <v>0</v>
      </c>
      <c r="K4158" t="n">
        <v>0</v>
      </c>
      <c r="L4158" t="n">
        <v>0</v>
      </c>
      <c r="M4158" t="n">
        <v>0</v>
      </c>
      <c r="N4158" t="n">
        <v>0</v>
      </c>
      <c r="O4158" t="n">
        <v>0</v>
      </c>
      <c r="P4158" t="n">
        <v>0</v>
      </c>
      <c r="Q4158" t="n">
        <v>0</v>
      </c>
      <c r="R4158" s="2" t="inlineStr"/>
    </row>
    <row r="4159" ht="15" customHeight="1">
      <c r="A4159" t="inlineStr">
        <is>
          <t>A 6364-2022</t>
        </is>
      </c>
      <c r="B4159" s="1" t="n">
        <v>44600</v>
      </c>
      <c r="C4159" s="1" t="n">
        <v>45210</v>
      </c>
      <c r="D4159" t="inlineStr">
        <is>
          <t>DALARNAS LÄN</t>
        </is>
      </c>
      <c r="E4159" t="inlineStr">
        <is>
          <t>LUDVIKA</t>
        </is>
      </c>
      <c r="F4159" t="inlineStr">
        <is>
          <t>Övriga Aktiebolag</t>
        </is>
      </c>
      <c r="G4159" t="n">
        <v>52.3</v>
      </c>
      <c r="H4159" t="n">
        <v>0</v>
      </c>
      <c r="I4159" t="n">
        <v>0</v>
      </c>
      <c r="J4159" t="n">
        <v>0</v>
      </c>
      <c r="K4159" t="n">
        <v>0</v>
      </c>
      <c r="L4159" t="n">
        <v>0</v>
      </c>
      <c r="M4159" t="n">
        <v>0</v>
      </c>
      <c r="N4159" t="n">
        <v>0</v>
      </c>
      <c r="O4159" t="n">
        <v>0</v>
      </c>
      <c r="P4159" t="n">
        <v>0</v>
      </c>
      <c r="Q4159" t="n">
        <v>0</v>
      </c>
      <c r="R4159" s="2" t="inlineStr"/>
    </row>
    <row r="4160" ht="15" customHeight="1">
      <c r="A4160" t="inlineStr">
        <is>
          <t>A 6270-2022</t>
        </is>
      </c>
      <c r="B4160" s="1" t="n">
        <v>44600</v>
      </c>
      <c r="C4160" s="1" t="n">
        <v>45210</v>
      </c>
      <c r="D4160" t="inlineStr">
        <is>
          <t>DALARNAS LÄN</t>
        </is>
      </c>
      <c r="E4160" t="inlineStr">
        <is>
          <t>ÄLVDALEN</t>
        </is>
      </c>
      <c r="F4160" t="inlineStr">
        <is>
          <t>Allmännings- och besparingsskogar</t>
        </is>
      </c>
      <c r="G4160" t="n">
        <v>9.199999999999999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6371-2022</t>
        </is>
      </c>
      <c r="B4161" s="1" t="n">
        <v>44600</v>
      </c>
      <c r="C4161" s="1" t="n">
        <v>45210</v>
      </c>
      <c r="D4161" t="inlineStr">
        <is>
          <t>DALARNAS LÄN</t>
        </is>
      </c>
      <c r="E4161" t="inlineStr">
        <is>
          <t>MORA</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6572-2022</t>
        </is>
      </c>
      <c r="B4162" s="1" t="n">
        <v>44601</v>
      </c>
      <c r="C4162" s="1" t="n">
        <v>45210</v>
      </c>
      <c r="D4162" t="inlineStr">
        <is>
          <t>DALARNAS LÄN</t>
        </is>
      </c>
      <c r="E4162" t="inlineStr">
        <is>
          <t>MORA</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6574-2022</t>
        </is>
      </c>
      <c r="B4163" s="1" t="n">
        <v>44601</v>
      </c>
      <c r="C4163" s="1" t="n">
        <v>45210</v>
      </c>
      <c r="D4163" t="inlineStr">
        <is>
          <t>DALARNAS LÄN</t>
        </is>
      </c>
      <c r="E4163" t="inlineStr">
        <is>
          <t>MORA</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6436-2022</t>
        </is>
      </c>
      <c r="B4164" s="1" t="n">
        <v>44601</v>
      </c>
      <c r="C4164" s="1" t="n">
        <v>45210</v>
      </c>
      <c r="D4164" t="inlineStr">
        <is>
          <t>DALARNAS LÄN</t>
        </is>
      </c>
      <c r="E4164" t="inlineStr">
        <is>
          <t>BORLÄNGE</t>
        </is>
      </c>
      <c r="G4164" t="n">
        <v>4.2</v>
      </c>
      <c r="H4164" t="n">
        <v>0</v>
      </c>
      <c r="I4164" t="n">
        <v>0</v>
      </c>
      <c r="J4164" t="n">
        <v>0</v>
      </c>
      <c r="K4164" t="n">
        <v>0</v>
      </c>
      <c r="L4164" t="n">
        <v>0</v>
      </c>
      <c r="M4164" t="n">
        <v>0</v>
      </c>
      <c r="N4164" t="n">
        <v>0</v>
      </c>
      <c r="O4164" t="n">
        <v>0</v>
      </c>
      <c r="P4164" t="n">
        <v>0</v>
      </c>
      <c r="Q4164" t="n">
        <v>0</v>
      </c>
      <c r="R4164" s="2" t="inlineStr"/>
    </row>
    <row r="4165" ht="15" customHeight="1">
      <c r="A4165" t="inlineStr">
        <is>
          <t>A 6466-2022</t>
        </is>
      </c>
      <c r="B4165" s="1" t="n">
        <v>44601</v>
      </c>
      <c r="C4165" s="1" t="n">
        <v>45210</v>
      </c>
      <c r="D4165" t="inlineStr">
        <is>
          <t>DALARNAS LÄN</t>
        </is>
      </c>
      <c r="E4165" t="inlineStr">
        <is>
          <t>SÄTER</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6566-2022</t>
        </is>
      </c>
      <c r="B4166" s="1" t="n">
        <v>44601</v>
      </c>
      <c r="C4166" s="1" t="n">
        <v>45210</v>
      </c>
      <c r="D4166" t="inlineStr">
        <is>
          <t>DALARNAS LÄN</t>
        </is>
      </c>
      <c r="E4166" t="inlineStr">
        <is>
          <t>GAGNEF</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7021-2022</t>
        </is>
      </c>
      <c r="B4167" s="1" t="n">
        <v>44602</v>
      </c>
      <c r="C4167" s="1" t="n">
        <v>45210</v>
      </c>
      <c r="D4167" t="inlineStr">
        <is>
          <t>DALARNAS LÄN</t>
        </is>
      </c>
      <c r="E4167" t="inlineStr">
        <is>
          <t>RÄTTVIK</t>
        </is>
      </c>
      <c r="G4167" t="n">
        <v>5.5</v>
      </c>
      <c r="H4167" t="n">
        <v>0</v>
      </c>
      <c r="I4167" t="n">
        <v>0</v>
      </c>
      <c r="J4167" t="n">
        <v>0</v>
      </c>
      <c r="K4167" t="n">
        <v>0</v>
      </c>
      <c r="L4167" t="n">
        <v>0</v>
      </c>
      <c r="M4167" t="n">
        <v>0</v>
      </c>
      <c r="N4167" t="n">
        <v>0</v>
      </c>
      <c r="O4167" t="n">
        <v>0</v>
      </c>
      <c r="P4167" t="n">
        <v>0</v>
      </c>
      <c r="Q4167" t="n">
        <v>0</v>
      </c>
      <c r="R4167" s="2" t="inlineStr"/>
    </row>
    <row r="4168" ht="15" customHeight="1">
      <c r="A4168" t="inlineStr">
        <is>
          <t>A 6778-2022</t>
        </is>
      </c>
      <c r="B4168" s="1" t="n">
        <v>44602</v>
      </c>
      <c r="C4168" s="1" t="n">
        <v>45210</v>
      </c>
      <c r="D4168" t="inlineStr">
        <is>
          <t>DALARNAS LÄN</t>
        </is>
      </c>
      <c r="E4168" t="inlineStr">
        <is>
          <t>LEKSAND</t>
        </is>
      </c>
      <c r="F4168" t="inlineStr">
        <is>
          <t>Kyrkan</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6888-2022</t>
        </is>
      </c>
      <c r="B4169" s="1" t="n">
        <v>44602</v>
      </c>
      <c r="C4169" s="1" t="n">
        <v>45210</v>
      </c>
      <c r="D4169" t="inlineStr">
        <is>
          <t>DALARNAS LÄN</t>
        </is>
      </c>
      <c r="E4169" t="inlineStr">
        <is>
          <t>SÄTER</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6887-2022</t>
        </is>
      </c>
      <c r="B4170" s="1" t="n">
        <v>44602</v>
      </c>
      <c r="C4170" s="1" t="n">
        <v>45210</v>
      </c>
      <c r="D4170" t="inlineStr">
        <is>
          <t>DALARNAS LÄN</t>
        </is>
      </c>
      <c r="E4170" t="inlineStr">
        <is>
          <t>SÄTER</t>
        </is>
      </c>
      <c r="G4170" t="n">
        <v>3.7</v>
      </c>
      <c r="H4170" t="n">
        <v>0</v>
      </c>
      <c r="I4170" t="n">
        <v>0</v>
      </c>
      <c r="J4170" t="n">
        <v>0</v>
      </c>
      <c r="K4170" t="n">
        <v>0</v>
      </c>
      <c r="L4170" t="n">
        <v>0</v>
      </c>
      <c r="M4170" t="n">
        <v>0</v>
      </c>
      <c r="N4170" t="n">
        <v>0</v>
      </c>
      <c r="O4170" t="n">
        <v>0</v>
      </c>
      <c r="P4170" t="n">
        <v>0</v>
      </c>
      <c r="Q4170" t="n">
        <v>0</v>
      </c>
      <c r="R4170" s="2" t="inlineStr"/>
    </row>
    <row r="4171" ht="15" customHeight="1">
      <c r="A4171" t="inlineStr">
        <is>
          <t>A 6945-2022</t>
        </is>
      </c>
      <c r="B4171" s="1" t="n">
        <v>44603</v>
      </c>
      <c r="C4171" s="1" t="n">
        <v>45210</v>
      </c>
      <c r="D4171" t="inlineStr">
        <is>
          <t>DALARNAS LÄN</t>
        </is>
      </c>
      <c r="E4171" t="inlineStr">
        <is>
          <t>MALUNG-SÄLEN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7174-2022</t>
        </is>
      </c>
      <c r="B4172" s="1" t="n">
        <v>44604</v>
      </c>
      <c r="C4172" s="1" t="n">
        <v>45210</v>
      </c>
      <c r="D4172" t="inlineStr">
        <is>
          <t>DALARNAS LÄN</t>
        </is>
      </c>
      <c r="E4172" t="inlineStr">
        <is>
          <t>SMEDJEBACKEN</t>
        </is>
      </c>
      <c r="G4172" t="n">
        <v>3.4</v>
      </c>
      <c r="H4172" t="n">
        <v>0</v>
      </c>
      <c r="I4172" t="n">
        <v>0</v>
      </c>
      <c r="J4172" t="n">
        <v>0</v>
      </c>
      <c r="K4172" t="n">
        <v>0</v>
      </c>
      <c r="L4172" t="n">
        <v>0</v>
      </c>
      <c r="M4172" t="n">
        <v>0</v>
      </c>
      <c r="N4172" t="n">
        <v>0</v>
      </c>
      <c r="O4172" t="n">
        <v>0</v>
      </c>
      <c r="P4172" t="n">
        <v>0</v>
      </c>
      <c r="Q4172" t="n">
        <v>0</v>
      </c>
      <c r="R4172" s="2" t="inlineStr"/>
    </row>
    <row r="4173" ht="15" customHeight="1">
      <c r="A4173" t="inlineStr">
        <is>
          <t>A 7530-2022</t>
        </is>
      </c>
      <c r="B4173" s="1" t="n">
        <v>44607</v>
      </c>
      <c r="C4173" s="1" t="n">
        <v>45210</v>
      </c>
      <c r="D4173" t="inlineStr">
        <is>
          <t>DALARNAS LÄN</t>
        </is>
      </c>
      <c r="E4173" t="inlineStr">
        <is>
          <t>ÄLVDALEN</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7759-2022</t>
        </is>
      </c>
      <c r="B4174" s="1" t="n">
        <v>44608</v>
      </c>
      <c r="C4174" s="1" t="n">
        <v>45210</v>
      </c>
      <c r="D4174" t="inlineStr">
        <is>
          <t>DALARNAS LÄN</t>
        </is>
      </c>
      <c r="E4174" t="inlineStr">
        <is>
          <t>SMEDJEBACKEN</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8051-2022</t>
        </is>
      </c>
      <c r="B4175" s="1" t="n">
        <v>44608</v>
      </c>
      <c r="C4175" s="1" t="n">
        <v>45210</v>
      </c>
      <c r="D4175" t="inlineStr">
        <is>
          <t>DALARNAS LÄN</t>
        </is>
      </c>
      <c r="E4175" t="inlineStr">
        <is>
          <t>MORA</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8026-2022</t>
        </is>
      </c>
      <c r="B4176" s="1" t="n">
        <v>44609</v>
      </c>
      <c r="C4176" s="1" t="n">
        <v>45210</v>
      </c>
      <c r="D4176" t="inlineStr">
        <is>
          <t>DALARNAS LÄN</t>
        </is>
      </c>
      <c r="E4176" t="inlineStr">
        <is>
          <t>GAGNEF</t>
        </is>
      </c>
      <c r="G4176" t="n">
        <v>2.5</v>
      </c>
      <c r="H4176" t="n">
        <v>0</v>
      </c>
      <c r="I4176" t="n">
        <v>0</v>
      </c>
      <c r="J4176" t="n">
        <v>0</v>
      </c>
      <c r="K4176" t="n">
        <v>0</v>
      </c>
      <c r="L4176" t="n">
        <v>0</v>
      </c>
      <c r="M4176" t="n">
        <v>0</v>
      </c>
      <c r="N4176" t="n">
        <v>0</v>
      </c>
      <c r="O4176" t="n">
        <v>0</v>
      </c>
      <c r="P4176" t="n">
        <v>0</v>
      </c>
      <c r="Q4176" t="n">
        <v>0</v>
      </c>
      <c r="R4176" s="2" t="inlineStr"/>
    </row>
    <row r="4177" ht="15" customHeight="1">
      <c r="A4177" t="inlineStr">
        <is>
          <t>A 8327-2022</t>
        </is>
      </c>
      <c r="B4177" s="1" t="n">
        <v>44610</v>
      </c>
      <c r="C4177" s="1" t="n">
        <v>45210</v>
      </c>
      <c r="D4177" t="inlineStr">
        <is>
          <t>DALARNAS LÄN</t>
        </is>
      </c>
      <c r="E4177" t="inlineStr">
        <is>
          <t>VANSBRO</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8309-2022</t>
        </is>
      </c>
      <c r="B4178" s="1" t="n">
        <v>44610</v>
      </c>
      <c r="C4178" s="1" t="n">
        <v>45210</v>
      </c>
      <c r="D4178" t="inlineStr">
        <is>
          <t>DALARNAS LÄN</t>
        </is>
      </c>
      <c r="E4178" t="inlineStr">
        <is>
          <t>BORLÄNGE</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8376-2022</t>
        </is>
      </c>
      <c r="B4179" s="1" t="n">
        <v>44610</v>
      </c>
      <c r="C4179" s="1" t="n">
        <v>45210</v>
      </c>
      <c r="D4179" t="inlineStr">
        <is>
          <t>DALARNAS LÄN</t>
        </is>
      </c>
      <c r="E4179" t="inlineStr">
        <is>
          <t>RÄTTVIK</t>
        </is>
      </c>
      <c r="F4179" t="inlineStr">
        <is>
          <t>Sveaskog</t>
        </is>
      </c>
      <c r="G4179" t="n">
        <v>0.1</v>
      </c>
      <c r="H4179" t="n">
        <v>0</v>
      </c>
      <c r="I4179" t="n">
        <v>0</v>
      </c>
      <c r="J4179" t="n">
        <v>0</v>
      </c>
      <c r="K4179" t="n">
        <v>0</v>
      </c>
      <c r="L4179" t="n">
        <v>0</v>
      </c>
      <c r="M4179" t="n">
        <v>0</v>
      </c>
      <c r="N4179" t="n">
        <v>0</v>
      </c>
      <c r="O4179" t="n">
        <v>0</v>
      </c>
      <c r="P4179" t="n">
        <v>0</v>
      </c>
      <c r="Q4179" t="n">
        <v>0</v>
      </c>
      <c r="R4179" s="2" t="inlineStr"/>
    </row>
    <row r="4180" ht="15" customHeight="1">
      <c r="A4180" t="inlineStr">
        <is>
          <t>A 8448-2022</t>
        </is>
      </c>
      <c r="B4180" s="1" t="n">
        <v>44612</v>
      </c>
      <c r="C4180" s="1" t="n">
        <v>45210</v>
      </c>
      <c r="D4180" t="inlineStr">
        <is>
          <t>DALARNAS LÄN</t>
        </is>
      </c>
      <c r="E4180" t="inlineStr">
        <is>
          <t>VANSBRO</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8447-2022</t>
        </is>
      </c>
      <c r="B4181" s="1" t="n">
        <v>44612</v>
      </c>
      <c r="C4181" s="1" t="n">
        <v>45210</v>
      </c>
      <c r="D4181" t="inlineStr">
        <is>
          <t>DALARNAS LÄN</t>
        </is>
      </c>
      <c r="E4181" t="inlineStr">
        <is>
          <t>VANSBRO</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8546-2022</t>
        </is>
      </c>
      <c r="B4182" s="1" t="n">
        <v>44613</v>
      </c>
      <c r="C4182" s="1" t="n">
        <v>45210</v>
      </c>
      <c r="D4182" t="inlineStr">
        <is>
          <t>DALARNAS LÄN</t>
        </is>
      </c>
      <c r="E4182" t="inlineStr">
        <is>
          <t>MORA</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8759-2022</t>
        </is>
      </c>
      <c r="B4183" s="1" t="n">
        <v>44613</v>
      </c>
      <c r="C4183" s="1" t="n">
        <v>45210</v>
      </c>
      <c r="D4183" t="inlineStr">
        <is>
          <t>DALARNAS LÄN</t>
        </is>
      </c>
      <c r="E4183" t="inlineStr">
        <is>
          <t>AVESTA</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8474-2022</t>
        </is>
      </c>
      <c r="B4184" s="1" t="n">
        <v>44613</v>
      </c>
      <c r="C4184" s="1" t="n">
        <v>45210</v>
      </c>
      <c r="D4184" t="inlineStr">
        <is>
          <t>DALARNAS LÄN</t>
        </is>
      </c>
      <c r="E4184" t="inlineStr">
        <is>
          <t>MALUNG-SÄLEN</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8890-2022</t>
        </is>
      </c>
      <c r="B4185" s="1" t="n">
        <v>44614</v>
      </c>
      <c r="C4185" s="1" t="n">
        <v>45210</v>
      </c>
      <c r="D4185" t="inlineStr">
        <is>
          <t>DALARNAS LÄN</t>
        </is>
      </c>
      <c r="E4185" t="inlineStr">
        <is>
          <t>VANSBRO</t>
        </is>
      </c>
      <c r="G4185" t="n">
        <v>0.3</v>
      </c>
      <c r="H4185" t="n">
        <v>0</v>
      </c>
      <c r="I4185" t="n">
        <v>0</v>
      </c>
      <c r="J4185" t="n">
        <v>0</v>
      </c>
      <c r="K4185" t="n">
        <v>0</v>
      </c>
      <c r="L4185" t="n">
        <v>0</v>
      </c>
      <c r="M4185" t="n">
        <v>0</v>
      </c>
      <c r="N4185" t="n">
        <v>0</v>
      </c>
      <c r="O4185" t="n">
        <v>0</v>
      </c>
      <c r="P4185" t="n">
        <v>0</v>
      </c>
      <c r="Q4185" t="n">
        <v>0</v>
      </c>
      <c r="R4185" s="2" t="inlineStr"/>
    </row>
    <row r="4186" ht="15" customHeight="1">
      <c r="A4186" t="inlineStr">
        <is>
          <t>A 8785-2022</t>
        </is>
      </c>
      <c r="B4186" s="1" t="n">
        <v>44614</v>
      </c>
      <c r="C4186" s="1" t="n">
        <v>45210</v>
      </c>
      <c r="D4186" t="inlineStr">
        <is>
          <t>DALARNAS LÄN</t>
        </is>
      </c>
      <c r="E4186" t="inlineStr">
        <is>
          <t>AVESTA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9148-2022</t>
        </is>
      </c>
      <c r="B4187" s="1" t="n">
        <v>44615</v>
      </c>
      <c r="C4187" s="1" t="n">
        <v>45210</v>
      </c>
      <c r="D4187" t="inlineStr">
        <is>
          <t>DALARNAS LÄN</t>
        </is>
      </c>
      <c r="E4187" t="inlineStr">
        <is>
          <t>ÄLVDALEN</t>
        </is>
      </c>
      <c r="F4187" t="inlineStr">
        <is>
          <t>Övriga statliga verk och myndigheter</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9299-2022</t>
        </is>
      </c>
      <c r="B4188" s="1" t="n">
        <v>44616</v>
      </c>
      <c r="C4188" s="1" t="n">
        <v>45210</v>
      </c>
      <c r="D4188" t="inlineStr">
        <is>
          <t>DALARNAS LÄN</t>
        </is>
      </c>
      <c r="E4188" t="inlineStr">
        <is>
          <t>MALUNG-SÄLEN</t>
        </is>
      </c>
      <c r="G4188" t="n">
        <v>4.7</v>
      </c>
      <c r="H4188" t="n">
        <v>0</v>
      </c>
      <c r="I4188" t="n">
        <v>0</v>
      </c>
      <c r="J4188" t="n">
        <v>0</v>
      </c>
      <c r="K4188" t="n">
        <v>0</v>
      </c>
      <c r="L4188" t="n">
        <v>0</v>
      </c>
      <c r="M4188" t="n">
        <v>0</v>
      </c>
      <c r="N4188" t="n">
        <v>0</v>
      </c>
      <c r="O4188" t="n">
        <v>0</v>
      </c>
      <c r="P4188" t="n">
        <v>0</v>
      </c>
      <c r="Q4188" t="n">
        <v>0</v>
      </c>
      <c r="R4188" s="2" t="inlineStr"/>
    </row>
    <row r="4189" ht="15" customHeight="1">
      <c r="A4189" t="inlineStr">
        <is>
          <t>A 9304-2022</t>
        </is>
      </c>
      <c r="B4189" s="1" t="n">
        <v>44616</v>
      </c>
      <c r="C4189" s="1" t="n">
        <v>45210</v>
      </c>
      <c r="D4189" t="inlineStr">
        <is>
          <t>DALARNAS LÄN</t>
        </is>
      </c>
      <c r="E4189" t="inlineStr">
        <is>
          <t>MALUNG-SÄLEN</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9403-2022</t>
        </is>
      </c>
      <c r="B4190" s="1" t="n">
        <v>44616</v>
      </c>
      <c r="C4190" s="1" t="n">
        <v>45210</v>
      </c>
      <c r="D4190" t="inlineStr">
        <is>
          <t>DALARNAS LÄN</t>
        </is>
      </c>
      <c r="E4190" t="inlineStr">
        <is>
          <t>AVESTA</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9790-2022</t>
        </is>
      </c>
      <c r="B4191" s="1" t="n">
        <v>44617</v>
      </c>
      <c r="C4191" s="1" t="n">
        <v>45210</v>
      </c>
      <c r="D4191" t="inlineStr">
        <is>
          <t>DALARNAS LÄN</t>
        </is>
      </c>
      <c r="E4191" t="inlineStr">
        <is>
          <t>SMEDJEBACKEN</t>
        </is>
      </c>
      <c r="G4191" t="n">
        <v>1.7</v>
      </c>
      <c r="H4191" t="n">
        <v>0</v>
      </c>
      <c r="I4191" t="n">
        <v>0</v>
      </c>
      <c r="J4191" t="n">
        <v>0</v>
      </c>
      <c r="K4191" t="n">
        <v>0</v>
      </c>
      <c r="L4191" t="n">
        <v>0</v>
      </c>
      <c r="M4191" t="n">
        <v>0</v>
      </c>
      <c r="N4191" t="n">
        <v>0</v>
      </c>
      <c r="O4191" t="n">
        <v>0</v>
      </c>
      <c r="P4191" t="n">
        <v>0</v>
      </c>
      <c r="Q4191" t="n">
        <v>0</v>
      </c>
      <c r="R4191" s="2" t="inlineStr"/>
    </row>
    <row r="4192" ht="15" customHeight="1">
      <c r="A4192" t="inlineStr">
        <is>
          <t>A 9561-2022</t>
        </is>
      </c>
      <c r="B4192" s="1" t="n">
        <v>44617</v>
      </c>
      <c r="C4192" s="1" t="n">
        <v>45210</v>
      </c>
      <c r="D4192" t="inlineStr">
        <is>
          <t>DALARNAS LÄN</t>
        </is>
      </c>
      <c r="E4192" t="inlineStr">
        <is>
          <t>ORSA</t>
        </is>
      </c>
      <c r="F4192" t="inlineStr">
        <is>
          <t>Kyrkan</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9803-2022</t>
        </is>
      </c>
      <c r="B4193" s="1" t="n">
        <v>44620</v>
      </c>
      <c r="C4193" s="1" t="n">
        <v>45210</v>
      </c>
      <c r="D4193" t="inlineStr">
        <is>
          <t>DALARNAS LÄN</t>
        </is>
      </c>
      <c r="E4193" t="inlineStr">
        <is>
          <t>RÄTTVIK</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9836-2022</t>
        </is>
      </c>
      <c r="B4194" s="1" t="n">
        <v>44620</v>
      </c>
      <c r="C4194" s="1" t="n">
        <v>45210</v>
      </c>
      <c r="D4194" t="inlineStr">
        <is>
          <t>DALARNAS LÄN</t>
        </is>
      </c>
      <c r="E4194" t="inlineStr">
        <is>
          <t>ORSA</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9971-2022</t>
        </is>
      </c>
      <c r="B4195" s="1" t="n">
        <v>44621</v>
      </c>
      <c r="C4195" s="1" t="n">
        <v>45210</v>
      </c>
      <c r="D4195" t="inlineStr">
        <is>
          <t>DALARNAS LÄN</t>
        </is>
      </c>
      <c r="E4195" t="inlineStr">
        <is>
          <t>RÄTTVIK</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9991-2022</t>
        </is>
      </c>
      <c r="B4196" s="1" t="n">
        <v>44621</v>
      </c>
      <c r="C4196" s="1" t="n">
        <v>45210</v>
      </c>
      <c r="D4196" t="inlineStr">
        <is>
          <t>DALARNAS LÄN</t>
        </is>
      </c>
      <c r="E4196" t="inlineStr">
        <is>
          <t>SÄTER</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10421-2022</t>
        </is>
      </c>
      <c r="B4197" s="1" t="n">
        <v>44623</v>
      </c>
      <c r="C4197" s="1" t="n">
        <v>45210</v>
      </c>
      <c r="D4197" t="inlineStr">
        <is>
          <t>DALARNAS LÄN</t>
        </is>
      </c>
      <c r="E4197" t="inlineStr">
        <is>
          <t>BORLÄNGE</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10340-2022</t>
        </is>
      </c>
      <c r="B4198" s="1" t="n">
        <v>44623</v>
      </c>
      <c r="C4198" s="1" t="n">
        <v>45210</v>
      </c>
      <c r="D4198" t="inlineStr">
        <is>
          <t>DALARNAS LÄN</t>
        </is>
      </c>
      <c r="E4198" t="inlineStr">
        <is>
          <t>SMEDJEBACKEN</t>
        </is>
      </c>
      <c r="G4198" t="n">
        <v>2.5</v>
      </c>
      <c r="H4198" t="n">
        <v>0</v>
      </c>
      <c r="I4198" t="n">
        <v>0</v>
      </c>
      <c r="J4198" t="n">
        <v>0</v>
      </c>
      <c r="K4198" t="n">
        <v>0</v>
      </c>
      <c r="L4198" t="n">
        <v>0</v>
      </c>
      <c r="M4198" t="n">
        <v>0</v>
      </c>
      <c r="N4198" t="n">
        <v>0</v>
      </c>
      <c r="O4198" t="n">
        <v>0</v>
      </c>
      <c r="P4198" t="n">
        <v>0</v>
      </c>
      <c r="Q4198" t="n">
        <v>0</v>
      </c>
      <c r="R4198" s="2" t="inlineStr"/>
    </row>
    <row r="4199" ht="15" customHeight="1">
      <c r="A4199" t="inlineStr">
        <is>
          <t>A 10375-2022</t>
        </is>
      </c>
      <c r="B4199" s="1" t="n">
        <v>44623</v>
      </c>
      <c r="C4199" s="1" t="n">
        <v>45210</v>
      </c>
      <c r="D4199" t="inlineStr">
        <is>
          <t>DALARNAS LÄN</t>
        </is>
      </c>
      <c r="E4199" t="inlineStr">
        <is>
          <t>ORSA</t>
        </is>
      </c>
      <c r="G4199" t="n">
        <v>4.8</v>
      </c>
      <c r="H4199" t="n">
        <v>0</v>
      </c>
      <c r="I4199" t="n">
        <v>0</v>
      </c>
      <c r="J4199" t="n">
        <v>0</v>
      </c>
      <c r="K4199" t="n">
        <v>0</v>
      </c>
      <c r="L4199" t="n">
        <v>0</v>
      </c>
      <c r="M4199" t="n">
        <v>0</v>
      </c>
      <c r="N4199" t="n">
        <v>0</v>
      </c>
      <c r="O4199" t="n">
        <v>0</v>
      </c>
      <c r="P4199" t="n">
        <v>0</v>
      </c>
      <c r="Q4199" t="n">
        <v>0</v>
      </c>
      <c r="R4199" s="2" t="inlineStr"/>
    </row>
    <row r="4200" ht="15" customHeight="1">
      <c r="A4200" t="inlineStr">
        <is>
          <t>A 10398-2022</t>
        </is>
      </c>
      <c r="B4200" s="1" t="n">
        <v>44623</v>
      </c>
      <c r="C4200" s="1" t="n">
        <v>45210</v>
      </c>
      <c r="D4200" t="inlineStr">
        <is>
          <t>DALARNAS LÄN</t>
        </is>
      </c>
      <c r="E4200" t="inlineStr">
        <is>
          <t>ORSA</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10405-2022</t>
        </is>
      </c>
      <c r="B4201" s="1" t="n">
        <v>44623</v>
      </c>
      <c r="C4201" s="1" t="n">
        <v>45210</v>
      </c>
      <c r="D4201" t="inlineStr">
        <is>
          <t>DALARNAS LÄN</t>
        </is>
      </c>
      <c r="E4201" t="inlineStr">
        <is>
          <t>ORSA</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10569-2022</t>
        </is>
      </c>
      <c r="B4202" s="1" t="n">
        <v>44624</v>
      </c>
      <c r="C4202" s="1" t="n">
        <v>45210</v>
      </c>
      <c r="D4202" t="inlineStr">
        <is>
          <t>DALARNAS LÄN</t>
        </is>
      </c>
      <c r="E4202" t="inlineStr">
        <is>
          <t>BORLÄNGE</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10832-2022</t>
        </is>
      </c>
      <c r="B4203" s="1" t="n">
        <v>44627</v>
      </c>
      <c r="C4203" s="1" t="n">
        <v>45210</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10626-2022</t>
        </is>
      </c>
      <c r="B4204" s="1" t="n">
        <v>44627</v>
      </c>
      <c r="C4204" s="1" t="n">
        <v>45210</v>
      </c>
      <c r="D4204" t="inlineStr">
        <is>
          <t>DALARNAS LÄN</t>
        </is>
      </c>
      <c r="E4204" t="inlineStr">
        <is>
          <t>RÄTTVIK</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10744-2022</t>
        </is>
      </c>
      <c r="B4205" s="1" t="n">
        <v>44627</v>
      </c>
      <c r="C4205" s="1" t="n">
        <v>45210</v>
      </c>
      <c r="D4205" t="inlineStr">
        <is>
          <t>DALARNAS LÄN</t>
        </is>
      </c>
      <c r="E4205" t="inlineStr">
        <is>
          <t>GAGNEF</t>
        </is>
      </c>
      <c r="G4205" t="n">
        <v>5.8</v>
      </c>
      <c r="H4205" t="n">
        <v>0</v>
      </c>
      <c r="I4205" t="n">
        <v>0</v>
      </c>
      <c r="J4205" t="n">
        <v>0</v>
      </c>
      <c r="K4205" t="n">
        <v>0</v>
      </c>
      <c r="L4205" t="n">
        <v>0</v>
      </c>
      <c r="M4205" t="n">
        <v>0</v>
      </c>
      <c r="N4205" t="n">
        <v>0</v>
      </c>
      <c r="O4205" t="n">
        <v>0</v>
      </c>
      <c r="P4205" t="n">
        <v>0</v>
      </c>
      <c r="Q4205" t="n">
        <v>0</v>
      </c>
      <c r="R4205" s="2" t="inlineStr"/>
    </row>
    <row r="4206" ht="15" customHeight="1">
      <c r="A4206" t="inlineStr">
        <is>
          <t>A 11046-2022</t>
        </is>
      </c>
      <c r="B4206" s="1" t="n">
        <v>44628</v>
      </c>
      <c r="C4206" s="1" t="n">
        <v>45210</v>
      </c>
      <c r="D4206" t="inlineStr">
        <is>
          <t>DALARNAS LÄN</t>
        </is>
      </c>
      <c r="E4206" t="inlineStr">
        <is>
          <t>HEDEMORA</t>
        </is>
      </c>
      <c r="F4206" t="inlineStr">
        <is>
          <t>Bergvik skog väst AB</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11180-2022</t>
        </is>
      </c>
      <c r="B4207" s="1" t="n">
        <v>44629</v>
      </c>
      <c r="C4207" s="1" t="n">
        <v>45210</v>
      </c>
      <c r="D4207" t="inlineStr">
        <is>
          <t>DALARNAS LÄN</t>
        </is>
      </c>
      <c r="E4207" t="inlineStr">
        <is>
          <t>ÄLVDALEN</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11337-2022</t>
        </is>
      </c>
      <c r="B4208" s="1" t="n">
        <v>44630</v>
      </c>
      <c r="C4208" s="1" t="n">
        <v>45210</v>
      </c>
      <c r="D4208" t="inlineStr">
        <is>
          <t>DALARNAS LÄN</t>
        </is>
      </c>
      <c r="E4208" t="inlineStr">
        <is>
          <t>MORA</t>
        </is>
      </c>
      <c r="G4208" t="n">
        <v>6.6</v>
      </c>
      <c r="H4208" t="n">
        <v>0</v>
      </c>
      <c r="I4208" t="n">
        <v>0</v>
      </c>
      <c r="J4208" t="n">
        <v>0</v>
      </c>
      <c r="K4208" t="n">
        <v>0</v>
      </c>
      <c r="L4208" t="n">
        <v>0</v>
      </c>
      <c r="M4208" t="n">
        <v>0</v>
      </c>
      <c r="N4208" t="n">
        <v>0</v>
      </c>
      <c r="O4208" t="n">
        <v>0</v>
      </c>
      <c r="P4208" t="n">
        <v>0</v>
      </c>
      <c r="Q4208" t="n">
        <v>0</v>
      </c>
      <c r="R4208" s="2" t="inlineStr"/>
    </row>
    <row r="4209" ht="15" customHeight="1">
      <c r="A4209" t="inlineStr">
        <is>
          <t>A 11426-2022</t>
        </is>
      </c>
      <c r="B4209" s="1" t="n">
        <v>44630</v>
      </c>
      <c r="C4209" s="1" t="n">
        <v>45210</v>
      </c>
      <c r="D4209" t="inlineStr">
        <is>
          <t>DALARNAS LÄN</t>
        </is>
      </c>
      <c r="E4209" t="inlineStr">
        <is>
          <t>SMEDJEBACKEN</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11412-2022</t>
        </is>
      </c>
      <c r="B4210" s="1" t="n">
        <v>44630</v>
      </c>
      <c r="C4210" s="1" t="n">
        <v>45210</v>
      </c>
      <c r="D4210" t="inlineStr">
        <is>
          <t>DALARNAS LÄN</t>
        </is>
      </c>
      <c r="E4210" t="inlineStr">
        <is>
          <t>LEKSAND</t>
        </is>
      </c>
      <c r="F4210" t="inlineStr">
        <is>
          <t>Bergvik skog väst AB</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11410-2022</t>
        </is>
      </c>
      <c r="B4211" s="1" t="n">
        <v>44630</v>
      </c>
      <c r="C4211" s="1" t="n">
        <v>45210</v>
      </c>
      <c r="D4211" t="inlineStr">
        <is>
          <t>DALARNAS LÄN</t>
        </is>
      </c>
      <c r="E4211" t="inlineStr">
        <is>
          <t>SMEDJEBACKEN</t>
        </is>
      </c>
      <c r="G4211" t="n">
        <v>0.2</v>
      </c>
      <c r="H4211" t="n">
        <v>0</v>
      </c>
      <c r="I4211" t="n">
        <v>0</v>
      </c>
      <c r="J4211" t="n">
        <v>0</v>
      </c>
      <c r="K4211" t="n">
        <v>0</v>
      </c>
      <c r="L4211" t="n">
        <v>0</v>
      </c>
      <c r="M4211" t="n">
        <v>0</v>
      </c>
      <c r="N4211" t="n">
        <v>0</v>
      </c>
      <c r="O4211" t="n">
        <v>0</v>
      </c>
      <c r="P4211" t="n">
        <v>0</v>
      </c>
      <c r="Q4211" t="n">
        <v>0</v>
      </c>
      <c r="R4211" s="2" t="inlineStr"/>
    </row>
    <row r="4212" ht="15" customHeight="1">
      <c r="A4212" t="inlineStr">
        <is>
          <t>A 11680-2022</t>
        </is>
      </c>
      <c r="B4212" s="1" t="n">
        <v>44634</v>
      </c>
      <c r="C4212" s="1" t="n">
        <v>45210</v>
      </c>
      <c r="D4212" t="inlineStr">
        <is>
          <t>DALARNAS LÄN</t>
        </is>
      </c>
      <c r="E4212" t="inlineStr">
        <is>
          <t>GAGNEF</t>
        </is>
      </c>
      <c r="G4212" t="n">
        <v>7.8</v>
      </c>
      <c r="H4212" t="n">
        <v>0</v>
      </c>
      <c r="I4212" t="n">
        <v>0</v>
      </c>
      <c r="J4212" t="n">
        <v>0</v>
      </c>
      <c r="K4212" t="n">
        <v>0</v>
      </c>
      <c r="L4212" t="n">
        <v>0</v>
      </c>
      <c r="M4212" t="n">
        <v>0</v>
      </c>
      <c r="N4212" t="n">
        <v>0</v>
      </c>
      <c r="O4212" t="n">
        <v>0</v>
      </c>
      <c r="P4212" t="n">
        <v>0</v>
      </c>
      <c r="Q4212" t="n">
        <v>0</v>
      </c>
      <c r="R4212" s="2" t="inlineStr"/>
    </row>
    <row r="4213" ht="15" customHeight="1">
      <c r="A4213" t="inlineStr">
        <is>
          <t>A 12049-2022</t>
        </is>
      </c>
      <c r="B4213" s="1" t="n">
        <v>44636</v>
      </c>
      <c r="C4213" s="1" t="n">
        <v>45210</v>
      </c>
      <c r="D4213" t="inlineStr">
        <is>
          <t>DALARNAS LÄN</t>
        </is>
      </c>
      <c r="E4213" t="inlineStr">
        <is>
          <t>FALUN</t>
        </is>
      </c>
      <c r="G4213" t="n">
        <v>0.1</v>
      </c>
      <c r="H4213" t="n">
        <v>0</v>
      </c>
      <c r="I4213" t="n">
        <v>0</v>
      </c>
      <c r="J4213" t="n">
        <v>0</v>
      </c>
      <c r="K4213" t="n">
        <v>0</v>
      </c>
      <c r="L4213" t="n">
        <v>0</v>
      </c>
      <c r="M4213" t="n">
        <v>0</v>
      </c>
      <c r="N4213" t="n">
        <v>0</v>
      </c>
      <c r="O4213" t="n">
        <v>0</v>
      </c>
      <c r="P4213" t="n">
        <v>0</v>
      </c>
      <c r="Q4213" t="n">
        <v>0</v>
      </c>
      <c r="R4213" s="2" t="inlineStr"/>
    </row>
    <row r="4214" ht="15" customHeight="1">
      <c r="A4214" t="inlineStr">
        <is>
          <t>A 12066-2022</t>
        </is>
      </c>
      <c r="B4214" s="1" t="n">
        <v>44636</v>
      </c>
      <c r="C4214" s="1" t="n">
        <v>45210</v>
      </c>
      <c r="D4214" t="inlineStr">
        <is>
          <t>DALARNAS LÄN</t>
        </is>
      </c>
      <c r="E4214" t="inlineStr">
        <is>
          <t>ÄLVDALEN</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12334-2022</t>
        </is>
      </c>
      <c r="B4215" s="1" t="n">
        <v>44637</v>
      </c>
      <c r="C4215" s="1" t="n">
        <v>45210</v>
      </c>
      <c r="D4215" t="inlineStr">
        <is>
          <t>DALARNAS LÄN</t>
        </is>
      </c>
      <c r="E4215" t="inlineStr">
        <is>
          <t>RÄTTVIK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12345-2022</t>
        </is>
      </c>
      <c r="B4216" s="1" t="n">
        <v>44637</v>
      </c>
      <c r="C4216" s="1" t="n">
        <v>45210</v>
      </c>
      <c r="D4216" t="inlineStr">
        <is>
          <t>DALARNAS LÄN</t>
        </is>
      </c>
      <c r="E4216" t="inlineStr">
        <is>
          <t>MALUNG-SÄLEN</t>
        </is>
      </c>
      <c r="F4216" t="inlineStr">
        <is>
          <t>Allmännings- och besparingsskogar</t>
        </is>
      </c>
      <c r="G4216" t="n">
        <v>17.5</v>
      </c>
      <c r="H4216" t="n">
        <v>0</v>
      </c>
      <c r="I4216" t="n">
        <v>0</v>
      </c>
      <c r="J4216" t="n">
        <v>0</v>
      </c>
      <c r="K4216" t="n">
        <v>0</v>
      </c>
      <c r="L4216" t="n">
        <v>0</v>
      </c>
      <c r="M4216" t="n">
        <v>0</v>
      </c>
      <c r="N4216" t="n">
        <v>0</v>
      </c>
      <c r="O4216" t="n">
        <v>0</v>
      </c>
      <c r="P4216" t="n">
        <v>0</v>
      </c>
      <c r="Q4216" t="n">
        <v>0</v>
      </c>
      <c r="R4216" s="2" t="inlineStr"/>
    </row>
    <row r="4217" ht="15" customHeight="1">
      <c r="A4217" t="inlineStr">
        <is>
          <t>A 12504-2022</t>
        </is>
      </c>
      <c r="B4217" s="1" t="n">
        <v>44638</v>
      </c>
      <c r="C4217" s="1" t="n">
        <v>45210</v>
      </c>
      <c r="D4217" t="inlineStr">
        <is>
          <t>DALARNAS LÄN</t>
        </is>
      </c>
      <c r="E4217" t="inlineStr">
        <is>
          <t>RÄTTVIK</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12464-2022</t>
        </is>
      </c>
      <c r="B4218" s="1" t="n">
        <v>44638</v>
      </c>
      <c r="C4218" s="1" t="n">
        <v>45210</v>
      </c>
      <c r="D4218" t="inlineStr">
        <is>
          <t>DALARNAS LÄN</t>
        </is>
      </c>
      <c r="E4218" t="inlineStr">
        <is>
          <t>RÄTTVIK</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12477-2022</t>
        </is>
      </c>
      <c r="B4219" s="1" t="n">
        <v>44638</v>
      </c>
      <c r="C4219" s="1" t="n">
        <v>45210</v>
      </c>
      <c r="D4219" t="inlineStr">
        <is>
          <t>DALARNAS LÄN</t>
        </is>
      </c>
      <c r="E4219" t="inlineStr">
        <is>
          <t>RÄTTVIK</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12704-2022</t>
        </is>
      </c>
      <c r="B4220" s="1" t="n">
        <v>44641</v>
      </c>
      <c r="C4220" s="1" t="n">
        <v>45210</v>
      </c>
      <c r="D4220" t="inlineStr">
        <is>
          <t>DALARNAS LÄN</t>
        </is>
      </c>
      <c r="E4220" t="inlineStr">
        <is>
          <t>ORSA</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12617-2022</t>
        </is>
      </c>
      <c r="B4221" s="1" t="n">
        <v>44641</v>
      </c>
      <c r="C4221" s="1" t="n">
        <v>45210</v>
      </c>
      <c r="D4221" t="inlineStr">
        <is>
          <t>DALARNAS LÄN</t>
        </is>
      </c>
      <c r="E4221" t="inlineStr">
        <is>
          <t>RÄTTVIK</t>
        </is>
      </c>
      <c r="G4221" t="n">
        <v>0.6</v>
      </c>
      <c r="H4221" t="n">
        <v>0</v>
      </c>
      <c r="I4221" t="n">
        <v>0</v>
      </c>
      <c r="J4221" t="n">
        <v>0</v>
      </c>
      <c r="K4221" t="n">
        <v>0</v>
      </c>
      <c r="L4221" t="n">
        <v>0</v>
      </c>
      <c r="M4221" t="n">
        <v>0</v>
      </c>
      <c r="N4221" t="n">
        <v>0</v>
      </c>
      <c r="O4221" t="n">
        <v>0</v>
      </c>
      <c r="P4221" t="n">
        <v>0</v>
      </c>
      <c r="Q4221" t="n">
        <v>0</v>
      </c>
      <c r="R4221" s="2" t="inlineStr"/>
    </row>
    <row r="4222" ht="15" customHeight="1">
      <c r="A4222" t="inlineStr">
        <is>
          <t>A 12842-2022</t>
        </is>
      </c>
      <c r="B4222" s="1" t="n">
        <v>44641</v>
      </c>
      <c r="C4222" s="1" t="n">
        <v>45210</v>
      </c>
      <c r="D4222" t="inlineStr">
        <is>
          <t>DALARNAS LÄN</t>
        </is>
      </c>
      <c r="E4222" t="inlineStr">
        <is>
          <t>MALUNG-SÄLEN</t>
        </is>
      </c>
      <c r="F4222" t="inlineStr">
        <is>
          <t>Allmännings- och besparingsskogar</t>
        </is>
      </c>
      <c r="G4222" t="n">
        <v>35.1</v>
      </c>
      <c r="H4222" t="n">
        <v>0</v>
      </c>
      <c r="I4222" t="n">
        <v>0</v>
      </c>
      <c r="J4222" t="n">
        <v>0</v>
      </c>
      <c r="K4222" t="n">
        <v>0</v>
      </c>
      <c r="L4222" t="n">
        <v>0</v>
      </c>
      <c r="M4222" t="n">
        <v>0</v>
      </c>
      <c r="N4222" t="n">
        <v>0</v>
      </c>
      <c r="O4222" t="n">
        <v>0</v>
      </c>
      <c r="P4222" t="n">
        <v>0</v>
      </c>
      <c r="Q4222" t="n">
        <v>0</v>
      </c>
      <c r="R4222" s="2" t="inlineStr"/>
    </row>
    <row r="4223" ht="15" customHeight="1">
      <c r="A4223" t="inlineStr">
        <is>
          <t>A 12992-2022</t>
        </is>
      </c>
      <c r="B4223" s="1" t="n">
        <v>44643</v>
      </c>
      <c r="C4223" s="1" t="n">
        <v>45210</v>
      </c>
      <c r="D4223" t="inlineStr">
        <is>
          <t>DALARNAS LÄN</t>
        </is>
      </c>
      <c r="E4223" t="inlineStr">
        <is>
          <t>LEKSAND</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13051-2022</t>
        </is>
      </c>
      <c r="B4224" s="1" t="n">
        <v>44643</v>
      </c>
      <c r="C4224" s="1" t="n">
        <v>45210</v>
      </c>
      <c r="D4224" t="inlineStr">
        <is>
          <t>DALARNAS LÄN</t>
        </is>
      </c>
      <c r="E4224" t="inlineStr">
        <is>
          <t>LUDVIKA</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12995-2022</t>
        </is>
      </c>
      <c r="B4225" s="1" t="n">
        <v>44643</v>
      </c>
      <c r="C4225" s="1" t="n">
        <v>45210</v>
      </c>
      <c r="D4225" t="inlineStr">
        <is>
          <t>DALARNAS LÄN</t>
        </is>
      </c>
      <c r="E4225" t="inlineStr">
        <is>
          <t>ÄLVDALEN</t>
        </is>
      </c>
      <c r="F4225" t="inlineStr">
        <is>
          <t>Sveaskog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13094-2022</t>
        </is>
      </c>
      <c r="B4226" s="1" t="n">
        <v>44643</v>
      </c>
      <c r="C4226" s="1" t="n">
        <v>45210</v>
      </c>
      <c r="D4226" t="inlineStr">
        <is>
          <t>DALARNAS LÄN</t>
        </is>
      </c>
      <c r="E4226" t="inlineStr">
        <is>
          <t>VANSBRO</t>
        </is>
      </c>
      <c r="F4226" t="inlineStr">
        <is>
          <t>Kyrkan</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12957-2022</t>
        </is>
      </c>
      <c r="B4227" s="1" t="n">
        <v>44643</v>
      </c>
      <c r="C4227" s="1" t="n">
        <v>45210</v>
      </c>
      <c r="D4227" t="inlineStr">
        <is>
          <t>DALARNAS LÄN</t>
        </is>
      </c>
      <c r="E4227" t="inlineStr">
        <is>
          <t>SÄTER</t>
        </is>
      </c>
      <c r="G4227" t="n">
        <v>8.1</v>
      </c>
      <c r="H4227" t="n">
        <v>0</v>
      </c>
      <c r="I4227" t="n">
        <v>0</v>
      </c>
      <c r="J4227" t="n">
        <v>0</v>
      </c>
      <c r="K4227" t="n">
        <v>0</v>
      </c>
      <c r="L4227" t="n">
        <v>0</v>
      </c>
      <c r="M4227" t="n">
        <v>0</v>
      </c>
      <c r="N4227" t="n">
        <v>0</v>
      </c>
      <c r="O4227" t="n">
        <v>0</v>
      </c>
      <c r="P4227" t="n">
        <v>0</v>
      </c>
      <c r="Q4227" t="n">
        <v>0</v>
      </c>
      <c r="R4227" s="2" t="inlineStr"/>
    </row>
    <row r="4228" ht="15" customHeight="1">
      <c r="A4228" t="inlineStr">
        <is>
          <t>A 13187-2022</t>
        </is>
      </c>
      <c r="B4228" s="1" t="n">
        <v>44644</v>
      </c>
      <c r="C4228" s="1" t="n">
        <v>45210</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13171-2022</t>
        </is>
      </c>
      <c r="B4229" s="1" t="n">
        <v>44644</v>
      </c>
      <c r="C4229" s="1" t="n">
        <v>45210</v>
      </c>
      <c r="D4229" t="inlineStr">
        <is>
          <t>DALARNAS LÄN</t>
        </is>
      </c>
      <c r="E4229" t="inlineStr">
        <is>
          <t>RÄTTVIK</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13189-2022</t>
        </is>
      </c>
      <c r="B4230" s="1" t="n">
        <v>44644</v>
      </c>
      <c r="C4230" s="1" t="n">
        <v>45210</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13186-2022</t>
        </is>
      </c>
      <c r="B4231" s="1" t="n">
        <v>44644</v>
      </c>
      <c r="C4231" s="1" t="n">
        <v>45210</v>
      </c>
      <c r="D4231" t="inlineStr">
        <is>
          <t>DALARNAS LÄN</t>
        </is>
      </c>
      <c r="E4231" t="inlineStr">
        <is>
          <t>FALUN</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13531-2022</t>
        </is>
      </c>
      <c r="B4232" s="1" t="n">
        <v>44648</v>
      </c>
      <c r="C4232" s="1" t="n">
        <v>45210</v>
      </c>
      <c r="D4232" t="inlineStr">
        <is>
          <t>DALARNAS LÄN</t>
        </is>
      </c>
      <c r="E4232" t="inlineStr">
        <is>
          <t>FALUN</t>
        </is>
      </c>
      <c r="G4232" t="n">
        <v>0.2</v>
      </c>
      <c r="H4232" t="n">
        <v>0</v>
      </c>
      <c r="I4232" t="n">
        <v>0</v>
      </c>
      <c r="J4232" t="n">
        <v>0</v>
      </c>
      <c r="K4232" t="n">
        <v>0</v>
      </c>
      <c r="L4232" t="n">
        <v>0</v>
      </c>
      <c r="M4232" t="n">
        <v>0</v>
      </c>
      <c r="N4232" t="n">
        <v>0</v>
      </c>
      <c r="O4232" t="n">
        <v>0</v>
      </c>
      <c r="P4232" t="n">
        <v>0</v>
      </c>
      <c r="Q4232" t="n">
        <v>0</v>
      </c>
      <c r="R4232" s="2" t="inlineStr"/>
    </row>
    <row r="4233" ht="15" customHeight="1">
      <c r="A4233" t="inlineStr">
        <is>
          <t>A 13538-2022</t>
        </is>
      </c>
      <c r="B4233" s="1" t="n">
        <v>44648</v>
      </c>
      <c r="C4233" s="1" t="n">
        <v>45210</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13557-2022</t>
        </is>
      </c>
      <c r="B4234" s="1" t="n">
        <v>44648</v>
      </c>
      <c r="C4234" s="1" t="n">
        <v>45210</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13586-2022</t>
        </is>
      </c>
      <c r="B4235" s="1" t="n">
        <v>44648</v>
      </c>
      <c r="C4235" s="1" t="n">
        <v>45210</v>
      </c>
      <c r="D4235" t="inlineStr">
        <is>
          <t>DALARNAS LÄN</t>
        </is>
      </c>
      <c r="E4235" t="inlineStr">
        <is>
          <t>FALUN</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13536-2022</t>
        </is>
      </c>
      <c r="B4236" s="1" t="n">
        <v>44648</v>
      </c>
      <c r="C4236" s="1" t="n">
        <v>45210</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13566-2022</t>
        </is>
      </c>
      <c r="B4237" s="1" t="n">
        <v>44648</v>
      </c>
      <c r="C4237" s="1" t="n">
        <v>45210</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13590-2022</t>
        </is>
      </c>
      <c r="B4238" s="1" t="n">
        <v>44648</v>
      </c>
      <c r="C4238" s="1" t="n">
        <v>45210</v>
      </c>
      <c r="D4238" t="inlineStr">
        <is>
          <t>DALARNAS LÄN</t>
        </is>
      </c>
      <c r="E4238" t="inlineStr">
        <is>
          <t>FALUN</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13561-2022</t>
        </is>
      </c>
      <c r="B4239" s="1" t="n">
        <v>44648</v>
      </c>
      <c r="C4239" s="1" t="n">
        <v>45210</v>
      </c>
      <c r="D4239" t="inlineStr">
        <is>
          <t>DALARNAS LÄN</t>
        </is>
      </c>
      <c r="E4239" t="inlineStr">
        <is>
          <t>FALUN</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13584-2022</t>
        </is>
      </c>
      <c r="B4240" s="1" t="n">
        <v>44648</v>
      </c>
      <c r="C4240" s="1" t="n">
        <v>45210</v>
      </c>
      <c r="D4240" t="inlineStr">
        <is>
          <t>DALARNAS LÄN</t>
        </is>
      </c>
      <c r="E4240" t="inlineStr">
        <is>
          <t>FALUN</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13532-2022</t>
        </is>
      </c>
      <c r="B4241" s="1" t="n">
        <v>44648</v>
      </c>
      <c r="C4241" s="1" t="n">
        <v>45210</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13540-2022</t>
        </is>
      </c>
      <c r="B4242" s="1" t="n">
        <v>44648</v>
      </c>
      <c r="C4242" s="1" t="n">
        <v>45210</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13569-2022</t>
        </is>
      </c>
      <c r="B4243" s="1" t="n">
        <v>44648</v>
      </c>
      <c r="C4243" s="1" t="n">
        <v>45210</v>
      </c>
      <c r="D4243" t="inlineStr">
        <is>
          <t>DALARNAS LÄN</t>
        </is>
      </c>
      <c r="E4243" t="inlineStr">
        <is>
          <t>FALUN</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13583-2022</t>
        </is>
      </c>
      <c r="B4244" s="1" t="n">
        <v>44648</v>
      </c>
      <c r="C4244" s="1" t="n">
        <v>45210</v>
      </c>
      <c r="D4244" t="inlineStr">
        <is>
          <t>DALARNAS LÄN</t>
        </is>
      </c>
      <c r="E4244" t="inlineStr">
        <is>
          <t>FALUN</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13922-2022</t>
        </is>
      </c>
      <c r="B4245" s="1" t="n">
        <v>44650</v>
      </c>
      <c r="C4245" s="1" t="n">
        <v>45210</v>
      </c>
      <c r="D4245" t="inlineStr">
        <is>
          <t>DALARNAS LÄN</t>
        </is>
      </c>
      <c r="E4245" t="inlineStr">
        <is>
          <t>AVESTA</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14193-2022</t>
        </is>
      </c>
      <c r="B4246" s="1" t="n">
        <v>44651</v>
      </c>
      <c r="C4246" s="1" t="n">
        <v>45210</v>
      </c>
      <c r="D4246" t="inlineStr">
        <is>
          <t>DALARNAS LÄN</t>
        </is>
      </c>
      <c r="E4246" t="inlineStr">
        <is>
          <t>RÄTTVIK</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14235-2022</t>
        </is>
      </c>
      <c r="B4247" s="1" t="n">
        <v>44651</v>
      </c>
      <c r="C4247" s="1" t="n">
        <v>45210</v>
      </c>
      <c r="D4247" t="inlineStr">
        <is>
          <t>DALARNAS LÄN</t>
        </is>
      </c>
      <c r="E4247" t="inlineStr">
        <is>
          <t>ÄLVDALEN</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14089-2022</t>
        </is>
      </c>
      <c r="B4248" s="1" t="n">
        <v>44651</v>
      </c>
      <c r="C4248" s="1" t="n">
        <v>45210</v>
      </c>
      <c r="D4248" t="inlineStr">
        <is>
          <t>DALARNAS LÄN</t>
        </is>
      </c>
      <c r="E4248" t="inlineStr">
        <is>
          <t>ÄLVDALEN</t>
        </is>
      </c>
      <c r="F4248" t="inlineStr">
        <is>
          <t>Kommuner</t>
        </is>
      </c>
      <c r="G4248" t="n">
        <v>2.1</v>
      </c>
      <c r="H4248" t="n">
        <v>0</v>
      </c>
      <c r="I4248" t="n">
        <v>0</v>
      </c>
      <c r="J4248" t="n">
        <v>0</v>
      </c>
      <c r="K4248" t="n">
        <v>0</v>
      </c>
      <c r="L4248" t="n">
        <v>0</v>
      </c>
      <c r="M4248" t="n">
        <v>0</v>
      </c>
      <c r="N4248" t="n">
        <v>0</v>
      </c>
      <c r="O4248" t="n">
        <v>0</v>
      </c>
      <c r="P4248" t="n">
        <v>0</v>
      </c>
      <c r="Q4248" t="n">
        <v>0</v>
      </c>
      <c r="R4248" s="2" t="inlineStr"/>
    </row>
    <row r="4249" ht="15" customHeight="1">
      <c r="A4249" t="inlineStr">
        <is>
          <t>A 14140-2022</t>
        </is>
      </c>
      <c r="B4249" s="1" t="n">
        <v>44651</v>
      </c>
      <c r="C4249" s="1" t="n">
        <v>45210</v>
      </c>
      <c r="D4249" t="inlineStr">
        <is>
          <t>DALARNAS LÄN</t>
        </is>
      </c>
      <c r="E4249" t="inlineStr">
        <is>
          <t>LEKSAND</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14795-2022</t>
        </is>
      </c>
      <c r="B4250" s="1" t="n">
        <v>44656</v>
      </c>
      <c r="C4250" s="1" t="n">
        <v>45210</v>
      </c>
      <c r="D4250" t="inlineStr">
        <is>
          <t>DALARNAS LÄN</t>
        </is>
      </c>
      <c r="E4250" t="inlineStr">
        <is>
          <t>ÄLVDALEN</t>
        </is>
      </c>
      <c r="F4250" t="inlineStr">
        <is>
          <t>Övriga statliga verk och myndigheter</t>
        </is>
      </c>
      <c r="G4250" t="n">
        <v>15.9</v>
      </c>
      <c r="H4250" t="n">
        <v>0</v>
      </c>
      <c r="I4250" t="n">
        <v>0</v>
      </c>
      <c r="J4250" t="n">
        <v>0</v>
      </c>
      <c r="K4250" t="n">
        <v>0</v>
      </c>
      <c r="L4250" t="n">
        <v>0</v>
      </c>
      <c r="M4250" t="n">
        <v>0</v>
      </c>
      <c r="N4250" t="n">
        <v>0</v>
      </c>
      <c r="O4250" t="n">
        <v>0</v>
      </c>
      <c r="P4250" t="n">
        <v>0</v>
      </c>
      <c r="Q4250" t="n">
        <v>0</v>
      </c>
      <c r="R4250" s="2" t="inlineStr"/>
    </row>
    <row r="4251" ht="15" customHeight="1">
      <c r="A4251" t="inlineStr">
        <is>
          <t>A 15127-2022</t>
        </is>
      </c>
      <c r="B4251" s="1" t="n">
        <v>44658</v>
      </c>
      <c r="C4251" s="1" t="n">
        <v>45210</v>
      </c>
      <c r="D4251" t="inlineStr">
        <is>
          <t>DALARNAS LÄN</t>
        </is>
      </c>
      <c r="E4251" t="inlineStr">
        <is>
          <t>MORA</t>
        </is>
      </c>
      <c r="G4251" t="n">
        <v>4.9</v>
      </c>
      <c r="H4251" t="n">
        <v>0</v>
      </c>
      <c r="I4251" t="n">
        <v>0</v>
      </c>
      <c r="J4251" t="n">
        <v>0</v>
      </c>
      <c r="K4251" t="n">
        <v>0</v>
      </c>
      <c r="L4251" t="n">
        <v>0</v>
      </c>
      <c r="M4251" t="n">
        <v>0</v>
      </c>
      <c r="N4251" t="n">
        <v>0</v>
      </c>
      <c r="O4251" t="n">
        <v>0</v>
      </c>
      <c r="P4251" t="n">
        <v>0</v>
      </c>
      <c r="Q4251" t="n">
        <v>0</v>
      </c>
      <c r="R4251" s="2" t="inlineStr"/>
    </row>
    <row r="4252" ht="15" customHeight="1">
      <c r="A4252" t="inlineStr">
        <is>
          <t>A 15145-2022</t>
        </is>
      </c>
      <c r="B4252" s="1" t="n">
        <v>44658</v>
      </c>
      <c r="C4252" s="1" t="n">
        <v>45210</v>
      </c>
      <c r="D4252" t="inlineStr">
        <is>
          <t>DALARNAS LÄN</t>
        </is>
      </c>
      <c r="E4252" t="inlineStr">
        <is>
          <t>LUDVIKA</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15250-2022</t>
        </is>
      </c>
      <c r="B4253" s="1" t="n">
        <v>44658</v>
      </c>
      <c r="C4253" s="1" t="n">
        <v>45210</v>
      </c>
      <c r="D4253" t="inlineStr">
        <is>
          <t>DALARNAS LÄN</t>
        </is>
      </c>
      <c r="E4253" t="inlineStr">
        <is>
          <t>FALUN</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15128-2022</t>
        </is>
      </c>
      <c r="B4254" s="1" t="n">
        <v>44658</v>
      </c>
      <c r="C4254" s="1" t="n">
        <v>45210</v>
      </c>
      <c r="D4254" t="inlineStr">
        <is>
          <t>DALARNAS LÄN</t>
        </is>
      </c>
      <c r="E4254" t="inlineStr">
        <is>
          <t>MORA</t>
        </is>
      </c>
      <c r="G4254" t="n">
        <v>9.199999999999999</v>
      </c>
      <c r="H4254" t="n">
        <v>0</v>
      </c>
      <c r="I4254" t="n">
        <v>0</v>
      </c>
      <c r="J4254" t="n">
        <v>0</v>
      </c>
      <c r="K4254" t="n">
        <v>0</v>
      </c>
      <c r="L4254" t="n">
        <v>0</v>
      </c>
      <c r="M4254" t="n">
        <v>0</v>
      </c>
      <c r="N4254" t="n">
        <v>0</v>
      </c>
      <c r="O4254" t="n">
        <v>0</v>
      </c>
      <c r="P4254" t="n">
        <v>0</v>
      </c>
      <c r="Q4254" t="n">
        <v>0</v>
      </c>
      <c r="R4254" s="2" t="inlineStr"/>
    </row>
    <row r="4255" ht="15" customHeight="1">
      <c r="A4255" t="inlineStr">
        <is>
          <t>A 15193-2022</t>
        </is>
      </c>
      <c r="B4255" s="1" t="n">
        <v>44658</v>
      </c>
      <c r="C4255" s="1" t="n">
        <v>45210</v>
      </c>
      <c r="D4255" t="inlineStr">
        <is>
          <t>DALARNAS LÄN</t>
        </is>
      </c>
      <c r="E4255" t="inlineStr">
        <is>
          <t>FALUN</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15540-2022</t>
        </is>
      </c>
      <c r="B4256" s="1" t="n">
        <v>44662</v>
      </c>
      <c r="C4256" s="1" t="n">
        <v>45210</v>
      </c>
      <c r="D4256" t="inlineStr">
        <is>
          <t>DALARNAS LÄN</t>
        </is>
      </c>
      <c r="E4256" t="inlineStr">
        <is>
          <t>FALUN</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15631-2022</t>
        </is>
      </c>
      <c r="B4257" s="1" t="n">
        <v>44662</v>
      </c>
      <c r="C4257" s="1" t="n">
        <v>45210</v>
      </c>
      <c r="D4257" t="inlineStr">
        <is>
          <t>DALARNAS LÄN</t>
        </is>
      </c>
      <c r="E4257" t="inlineStr">
        <is>
          <t>GAGNEF</t>
        </is>
      </c>
      <c r="G4257" t="n">
        <v>2.5</v>
      </c>
      <c r="H4257" t="n">
        <v>0</v>
      </c>
      <c r="I4257" t="n">
        <v>0</v>
      </c>
      <c r="J4257" t="n">
        <v>0</v>
      </c>
      <c r="K4257" t="n">
        <v>0</v>
      </c>
      <c r="L4257" t="n">
        <v>0</v>
      </c>
      <c r="M4257" t="n">
        <v>0</v>
      </c>
      <c r="N4257" t="n">
        <v>0</v>
      </c>
      <c r="O4257" t="n">
        <v>0</v>
      </c>
      <c r="P4257" t="n">
        <v>0</v>
      </c>
      <c r="Q4257" t="n">
        <v>0</v>
      </c>
      <c r="R4257" s="2" t="inlineStr"/>
    </row>
    <row r="4258" ht="15" customHeight="1">
      <c r="A4258" t="inlineStr">
        <is>
          <t>A 15552-2022</t>
        </is>
      </c>
      <c r="B4258" s="1" t="n">
        <v>44662</v>
      </c>
      <c r="C4258" s="1" t="n">
        <v>45210</v>
      </c>
      <c r="D4258" t="inlineStr">
        <is>
          <t>DALARNAS LÄN</t>
        </is>
      </c>
      <c r="E4258" t="inlineStr">
        <is>
          <t>SMEDJEBACKEN</t>
        </is>
      </c>
      <c r="F4258" t="inlineStr">
        <is>
          <t>Sveaskog</t>
        </is>
      </c>
      <c r="G4258" t="n">
        <v>4.5</v>
      </c>
      <c r="H4258" t="n">
        <v>0</v>
      </c>
      <c r="I4258" t="n">
        <v>0</v>
      </c>
      <c r="J4258" t="n">
        <v>0</v>
      </c>
      <c r="K4258" t="n">
        <v>0</v>
      </c>
      <c r="L4258" t="n">
        <v>0</v>
      </c>
      <c r="M4258" t="n">
        <v>0</v>
      </c>
      <c r="N4258" t="n">
        <v>0</v>
      </c>
      <c r="O4258" t="n">
        <v>0</v>
      </c>
      <c r="P4258" t="n">
        <v>0</v>
      </c>
      <c r="Q4258" t="n">
        <v>0</v>
      </c>
      <c r="R4258" s="2" t="inlineStr"/>
    </row>
    <row r="4259" ht="15" customHeight="1">
      <c r="A4259" t="inlineStr">
        <is>
          <t>A 15929-2022</t>
        </is>
      </c>
      <c r="B4259" s="1" t="n">
        <v>44664</v>
      </c>
      <c r="C4259" s="1" t="n">
        <v>45210</v>
      </c>
      <c r="D4259" t="inlineStr">
        <is>
          <t>DALARNAS LÄN</t>
        </is>
      </c>
      <c r="E4259" t="inlineStr">
        <is>
          <t>FALUN</t>
        </is>
      </c>
      <c r="F4259" t="inlineStr">
        <is>
          <t>Kyrkan</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16122-2022</t>
        </is>
      </c>
      <c r="B4260" s="1" t="n">
        <v>44665</v>
      </c>
      <c r="C4260" s="1" t="n">
        <v>45210</v>
      </c>
      <c r="D4260" t="inlineStr">
        <is>
          <t>DALARNAS LÄN</t>
        </is>
      </c>
      <c r="E4260" t="inlineStr">
        <is>
          <t>HEDEMORA</t>
        </is>
      </c>
      <c r="F4260" t="inlineStr">
        <is>
          <t>Sveaskog</t>
        </is>
      </c>
      <c r="G4260" t="n">
        <v>1.6</v>
      </c>
      <c r="H4260" t="n">
        <v>0</v>
      </c>
      <c r="I4260" t="n">
        <v>0</v>
      </c>
      <c r="J4260" t="n">
        <v>0</v>
      </c>
      <c r="K4260" t="n">
        <v>0</v>
      </c>
      <c r="L4260" t="n">
        <v>0</v>
      </c>
      <c r="M4260" t="n">
        <v>0</v>
      </c>
      <c r="N4260" t="n">
        <v>0</v>
      </c>
      <c r="O4260" t="n">
        <v>0</v>
      </c>
      <c r="P4260" t="n">
        <v>0</v>
      </c>
      <c r="Q4260" t="n">
        <v>0</v>
      </c>
      <c r="R4260" s="2" t="inlineStr"/>
    </row>
    <row r="4261" ht="15" customHeight="1">
      <c r="A4261" t="inlineStr">
        <is>
          <t>A 16155-2022</t>
        </is>
      </c>
      <c r="B4261" s="1" t="n">
        <v>44666</v>
      </c>
      <c r="C4261" s="1" t="n">
        <v>45210</v>
      </c>
      <c r="D4261" t="inlineStr">
        <is>
          <t>DALARNAS LÄN</t>
        </is>
      </c>
      <c r="E4261" t="inlineStr">
        <is>
          <t>SMEDJEBACKEN</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16192-2022</t>
        </is>
      </c>
      <c r="B4262" s="1" t="n">
        <v>44669</v>
      </c>
      <c r="C4262" s="1" t="n">
        <v>45210</v>
      </c>
      <c r="D4262" t="inlineStr">
        <is>
          <t>DALARNAS LÄN</t>
        </is>
      </c>
      <c r="E4262" t="inlineStr">
        <is>
          <t>GAGNEF</t>
        </is>
      </c>
      <c r="F4262" t="inlineStr">
        <is>
          <t>Bergvik skog väst AB</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16319-2022</t>
        </is>
      </c>
      <c r="B4263" s="1" t="n">
        <v>44670</v>
      </c>
      <c r="C4263" s="1" t="n">
        <v>45210</v>
      </c>
      <c r="D4263" t="inlineStr">
        <is>
          <t>DALARNAS LÄN</t>
        </is>
      </c>
      <c r="E4263" t="inlineStr">
        <is>
          <t>BORLÄNGE</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16353-2022</t>
        </is>
      </c>
      <c r="B4264" s="1" t="n">
        <v>44670</v>
      </c>
      <c r="C4264" s="1" t="n">
        <v>45210</v>
      </c>
      <c r="D4264" t="inlineStr">
        <is>
          <t>DALARNAS LÄN</t>
        </is>
      </c>
      <c r="E4264" t="inlineStr">
        <is>
          <t>LEKSAND</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16380-2022</t>
        </is>
      </c>
      <c r="B4265" s="1" t="n">
        <v>44671</v>
      </c>
      <c r="C4265" s="1" t="n">
        <v>45210</v>
      </c>
      <c r="D4265" t="inlineStr">
        <is>
          <t>DALARNAS LÄN</t>
        </is>
      </c>
      <c r="E4265" t="inlineStr">
        <is>
          <t>MALUNG-SÄLEN</t>
        </is>
      </c>
      <c r="F4265" t="inlineStr">
        <is>
          <t>Kommuner</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16389-2022</t>
        </is>
      </c>
      <c r="B4266" s="1" t="n">
        <v>44671</v>
      </c>
      <c r="C4266" s="1" t="n">
        <v>45210</v>
      </c>
      <c r="D4266" t="inlineStr">
        <is>
          <t>DALARNAS LÄN</t>
        </is>
      </c>
      <c r="E4266" t="inlineStr">
        <is>
          <t>GAGNEF</t>
        </is>
      </c>
      <c r="G4266" t="n">
        <v>1.9</v>
      </c>
      <c r="H4266" t="n">
        <v>0</v>
      </c>
      <c r="I4266" t="n">
        <v>0</v>
      </c>
      <c r="J4266" t="n">
        <v>0</v>
      </c>
      <c r="K4266" t="n">
        <v>0</v>
      </c>
      <c r="L4266" t="n">
        <v>0</v>
      </c>
      <c r="M4266" t="n">
        <v>0</v>
      </c>
      <c r="N4266" t="n">
        <v>0</v>
      </c>
      <c r="O4266" t="n">
        <v>0</v>
      </c>
      <c r="P4266" t="n">
        <v>0</v>
      </c>
      <c r="Q4266" t="n">
        <v>0</v>
      </c>
      <c r="R4266" s="2" t="inlineStr"/>
    </row>
    <row r="4267" ht="15" customHeight="1">
      <c r="A4267" t="inlineStr">
        <is>
          <t>A 16409-2022</t>
        </is>
      </c>
      <c r="B4267" s="1" t="n">
        <v>44671</v>
      </c>
      <c r="C4267" s="1" t="n">
        <v>45210</v>
      </c>
      <c r="D4267" t="inlineStr">
        <is>
          <t>DALARNAS LÄN</t>
        </is>
      </c>
      <c r="E4267" t="inlineStr">
        <is>
          <t>GAGNEF</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16388-2022</t>
        </is>
      </c>
      <c r="B4268" s="1" t="n">
        <v>44671</v>
      </c>
      <c r="C4268" s="1" t="n">
        <v>45210</v>
      </c>
      <c r="D4268" t="inlineStr">
        <is>
          <t>DALARNAS LÄN</t>
        </is>
      </c>
      <c r="E4268" t="inlineStr">
        <is>
          <t>GAGNEF</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16640-2022</t>
        </is>
      </c>
      <c r="B4269" s="1" t="n">
        <v>44672</v>
      </c>
      <c r="C4269" s="1" t="n">
        <v>45210</v>
      </c>
      <c r="D4269" t="inlineStr">
        <is>
          <t>DALARNAS LÄN</t>
        </is>
      </c>
      <c r="E4269" t="inlineStr">
        <is>
          <t>VANSBRO</t>
        </is>
      </c>
      <c r="F4269" t="inlineStr">
        <is>
          <t>Kyrkan</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17807-2022</t>
        </is>
      </c>
      <c r="B4270" s="1" t="n">
        <v>44673</v>
      </c>
      <c r="C4270" s="1" t="n">
        <v>45210</v>
      </c>
      <c r="D4270" t="inlineStr">
        <is>
          <t>DALARNAS LÄN</t>
        </is>
      </c>
      <c r="E4270" t="inlineStr">
        <is>
          <t>VANSBRO</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16706-2022</t>
        </is>
      </c>
      <c r="B4271" s="1" t="n">
        <v>44673</v>
      </c>
      <c r="C4271" s="1" t="n">
        <v>45210</v>
      </c>
      <c r="D4271" t="inlineStr">
        <is>
          <t>DALARNAS LÄN</t>
        </is>
      </c>
      <c r="E4271" t="inlineStr">
        <is>
          <t>MORA</t>
        </is>
      </c>
      <c r="G4271" t="n">
        <v>9.1</v>
      </c>
      <c r="H4271" t="n">
        <v>0</v>
      </c>
      <c r="I4271" t="n">
        <v>0</v>
      </c>
      <c r="J4271" t="n">
        <v>0</v>
      </c>
      <c r="K4271" t="n">
        <v>0</v>
      </c>
      <c r="L4271" t="n">
        <v>0</v>
      </c>
      <c r="M4271" t="n">
        <v>0</v>
      </c>
      <c r="N4271" t="n">
        <v>0</v>
      </c>
      <c r="O4271" t="n">
        <v>0</v>
      </c>
      <c r="P4271" t="n">
        <v>0</v>
      </c>
      <c r="Q4271" t="n">
        <v>0</v>
      </c>
      <c r="R4271" s="2" t="inlineStr"/>
    </row>
    <row r="4272" ht="15" customHeight="1">
      <c r="A4272" t="inlineStr">
        <is>
          <t>A 16767-2022</t>
        </is>
      </c>
      <c r="B4272" s="1" t="n">
        <v>44673</v>
      </c>
      <c r="C4272" s="1" t="n">
        <v>45210</v>
      </c>
      <c r="D4272" t="inlineStr">
        <is>
          <t>DALARNAS LÄN</t>
        </is>
      </c>
      <c r="E4272" t="inlineStr">
        <is>
          <t>BORLÄNGE</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17804-2022</t>
        </is>
      </c>
      <c r="B4273" s="1" t="n">
        <v>44673</v>
      </c>
      <c r="C4273" s="1" t="n">
        <v>45210</v>
      </c>
      <c r="D4273" t="inlineStr">
        <is>
          <t>DALARNAS LÄN</t>
        </is>
      </c>
      <c r="E4273" t="inlineStr">
        <is>
          <t>VANSBRO</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16890-2022</t>
        </is>
      </c>
      <c r="B4274" s="1" t="n">
        <v>44675</v>
      </c>
      <c r="C4274" s="1" t="n">
        <v>45210</v>
      </c>
      <c r="D4274" t="inlineStr">
        <is>
          <t>DALARNAS LÄN</t>
        </is>
      </c>
      <c r="E4274" t="inlineStr">
        <is>
          <t>BORLÄNGE</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17002-2022</t>
        </is>
      </c>
      <c r="B4275" s="1" t="n">
        <v>44676</v>
      </c>
      <c r="C4275" s="1" t="n">
        <v>45210</v>
      </c>
      <c r="D4275" t="inlineStr">
        <is>
          <t>DALARNAS LÄN</t>
        </is>
      </c>
      <c r="E4275" t="inlineStr">
        <is>
          <t>MALUNG-SÄLEN</t>
        </is>
      </c>
      <c r="G4275" t="n">
        <v>3.6</v>
      </c>
      <c r="H4275" t="n">
        <v>0</v>
      </c>
      <c r="I4275" t="n">
        <v>0</v>
      </c>
      <c r="J4275" t="n">
        <v>0</v>
      </c>
      <c r="K4275" t="n">
        <v>0</v>
      </c>
      <c r="L4275" t="n">
        <v>0</v>
      </c>
      <c r="M4275" t="n">
        <v>0</v>
      </c>
      <c r="N4275" t="n">
        <v>0</v>
      </c>
      <c r="O4275" t="n">
        <v>0</v>
      </c>
      <c r="P4275" t="n">
        <v>0</v>
      </c>
      <c r="Q4275" t="n">
        <v>0</v>
      </c>
      <c r="R4275" s="2" t="inlineStr"/>
    </row>
    <row r="4276" ht="15" customHeight="1">
      <c r="A4276" t="inlineStr">
        <is>
          <t>A 16976-2022</t>
        </is>
      </c>
      <c r="B4276" s="1" t="n">
        <v>44676</v>
      </c>
      <c r="C4276" s="1" t="n">
        <v>45210</v>
      </c>
      <c r="D4276" t="inlineStr">
        <is>
          <t>DALARNAS LÄN</t>
        </is>
      </c>
      <c r="E4276" t="inlineStr">
        <is>
          <t>LEKSAND</t>
        </is>
      </c>
      <c r="F4276" t="inlineStr">
        <is>
          <t>Övriga Aktiebolag</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17272-2022</t>
        </is>
      </c>
      <c r="B4277" s="1" t="n">
        <v>44678</v>
      </c>
      <c r="C4277" s="1" t="n">
        <v>45210</v>
      </c>
      <c r="D4277" t="inlineStr">
        <is>
          <t>DALARNAS LÄN</t>
        </is>
      </c>
      <c r="E4277" t="inlineStr">
        <is>
          <t>MORA</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17494-2022</t>
        </is>
      </c>
      <c r="B4278" s="1" t="n">
        <v>44679</v>
      </c>
      <c r="C4278" s="1" t="n">
        <v>45210</v>
      </c>
      <c r="D4278" t="inlineStr">
        <is>
          <t>DALARNAS LÄN</t>
        </is>
      </c>
      <c r="E4278" t="inlineStr">
        <is>
          <t>VANSBRO</t>
        </is>
      </c>
      <c r="F4278" t="inlineStr">
        <is>
          <t>Bergvik skog väst AB</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17640-2022</t>
        </is>
      </c>
      <c r="B4279" s="1" t="n">
        <v>44680</v>
      </c>
      <c r="C4279" s="1" t="n">
        <v>45210</v>
      </c>
      <c r="D4279" t="inlineStr">
        <is>
          <t>DALARNAS LÄN</t>
        </is>
      </c>
      <c r="E4279" t="inlineStr">
        <is>
          <t>AVESTA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17677-2022</t>
        </is>
      </c>
      <c r="B4280" s="1" t="n">
        <v>44680</v>
      </c>
      <c r="C4280" s="1" t="n">
        <v>45210</v>
      </c>
      <c r="D4280" t="inlineStr">
        <is>
          <t>DALARNAS LÄN</t>
        </is>
      </c>
      <c r="E4280" t="inlineStr">
        <is>
          <t>LUDVIKA</t>
        </is>
      </c>
      <c r="F4280" t="inlineStr">
        <is>
          <t>Bergvik skog väst AB</t>
        </is>
      </c>
      <c r="G4280" t="n">
        <v>5.5</v>
      </c>
      <c r="H4280" t="n">
        <v>0</v>
      </c>
      <c r="I4280" t="n">
        <v>0</v>
      </c>
      <c r="J4280" t="n">
        <v>0</v>
      </c>
      <c r="K4280" t="n">
        <v>0</v>
      </c>
      <c r="L4280" t="n">
        <v>0</v>
      </c>
      <c r="M4280" t="n">
        <v>0</v>
      </c>
      <c r="N4280" t="n">
        <v>0</v>
      </c>
      <c r="O4280" t="n">
        <v>0</v>
      </c>
      <c r="P4280" t="n">
        <v>0</v>
      </c>
      <c r="Q4280" t="n">
        <v>0</v>
      </c>
      <c r="R4280" s="2" t="inlineStr"/>
    </row>
    <row r="4281" ht="15" customHeight="1">
      <c r="A4281" t="inlineStr">
        <is>
          <t>A 17709-2022</t>
        </is>
      </c>
      <c r="B4281" s="1" t="n">
        <v>44680</v>
      </c>
      <c r="C4281" s="1" t="n">
        <v>45210</v>
      </c>
      <c r="D4281" t="inlineStr">
        <is>
          <t>DALARNAS LÄN</t>
        </is>
      </c>
      <c r="E4281" t="inlineStr">
        <is>
          <t>FALUN</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17627-2022</t>
        </is>
      </c>
      <c r="B4282" s="1" t="n">
        <v>44680</v>
      </c>
      <c r="C4282" s="1" t="n">
        <v>45210</v>
      </c>
      <c r="D4282" t="inlineStr">
        <is>
          <t>DALARNAS LÄN</t>
        </is>
      </c>
      <c r="E4282" t="inlineStr">
        <is>
          <t>ÄLVDALEN</t>
        </is>
      </c>
      <c r="F4282" t="inlineStr">
        <is>
          <t>Sveaskog</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17657-2022</t>
        </is>
      </c>
      <c r="B4283" s="1" t="n">
        <v>44680</v>
      </c>
      <c r="C4283" s="1" t="n">
        <v>45210</v>
      </c>
      <c r="D4283" t="inlineStr">
        <is>
          <t>DALARNAS LÄN</t>
        </is>
      </c>
      <c r="E4283" t="inlineStr">
        <is>
          <t>RÄTTVIK</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18038-2022</t>
        </is>
      </c>
      <c r="B4284" s="1" t="n">
        <v>44684</v>
      </c>
      <c r="C4284" s="1" t="n">
        <v>45210</v>
      </c>
      <c r="D4284" t="inlineStr">
        <is>
          <t>DALARNAS LÄN</t>
        </is>
      </c>
      <c r="E4284" t="inlineStr">
        <is>
          <t>SMEDJEBACKEN</t>
        </is>
      </c>
      <c r="F4284" t="inlineStr">
        <is>
          <t>Sveaskog</t>
        </is>
      </c>
      <c r="G4284" t="n">
        <v>9.1</v>
      </c>
      <c r="H4284" t="n">
        <v>0</v>
      </c>
      <c r="I4284" t="n">
        <v>0</v>
      </c>
      <c r="J4284" t="n">
        <v>0</v>
      </c>
      <c r="K4284" t="n">
        <v>0</v>
      </c>
      <c r="L4284" t="n">
        <v>0</v>
      </c>
      <c r="M4284" t="n">
        <v>0</v>
      </c>
      <c r="N4284" t="n">
        <v>0</v>
      </c>
      <c r="O4284" t="n">
        <v>0</v>
      </c>
      <c r="P4284" t="n">
        <v>0</v>
      </c>
      <c r="Q4284" t="n">
        <v>0</v>
      </c>
      <c r="R4284" s="2" t="inlineStr"/>
    </row>
    <row r="4285" ht="15" customHeight="1">
      <c r="A4285" t="inlineStr">
        <is>
          <t>A 18064-2022</t>
        </is>
      </c>
      <c r="B4285" s="1" t="n">
        <v>44684</v>
      </c>
      <c r="C4285" s="1" t="n">
        <v>45210</v>
      </c>
      <c r="D4285" t="inlineStr">
        <is>
          <t>DALARNAS LÄN</t>
        </is>
      </c>
      <c r="E4285" t="inlineStr">
        <is>
          <t>RÄTTVIK</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18439-2022</t>
        </is>
      </c>
      <c r="B4286" s="1" t="n">
        <v>44686</v>
      </c>
      <c r="C4286" s="1" t="n">
        <v>45210</v>
      </c>
      <c r="D4286" t="inlineStr">
        <is>
          <t>DALARNAS LÄN</t>
        </is>
      </c>
      <c r="E4286" t="inlineStr">
        <is>
          <t>MALUNG-SÄLEN</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18419-2022</t>
        </is>
      </c>
      <c r="B4287" s="1" t="n">
        <v>44686</v>
      </c>
      <c r="C4287" s="1" t="n">
        <v>45210</v>
      </c>
      <c r="D4287" t="inlineStr">
        <is>
          <t>DALARNAS LÄN</t>
        </is>
      </c>
      <c r="E4287" t="inlineStr">
        <is>
          <t>SMEDJEBACKEN</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18436-2022</t>
        </is>
      </c>
      <c r="B4288" s="1" t="n">
        <v>44686</v>
      </c>
      <c r="C4288" s="1" t="n">
        <v>45210</v>
      </c>
      <c r="D4288" t="inlineStr">
        <is>
          <t>DALARNAS LÄN</t>
        </is>
      </c>
      <c r="E4288" t="inlineStr">
        <is>
          <t>ÄLVDALEN</t>
        </is>
      </c>
      <c r="G4288" t="n">
        <v>6.4</v>
      </c>
      <c r="H4288" t="n">
        <v>0</v>
      </c>
      <c r="I4288" t="n">
        <v>0</v>
      </c>
      <c r="J4288" t="n">
        <v>0</v>
      </c>
      <c r="K4288" t="n">
        <v>0</v>
      </c>
      <c r="L4288" t="n">
        <v>0</v>
      </c>
      <c r="M4288" t="n">
        <v>0</v>
      </c>
      <c r="N4288" t="n">
        <v>0</v>
      </c>
      <c r="O4288" t="n">
        <v>0</v>
      </c>
      <c r="P4288" t="n">
        <v>0</v>
      </c>
      <c r="Q4288" t="n">
        <v>0</v>
      </c>
      <c r="R4288" s="2" t="inlineStr"/>
    </row>
    <row r="4289" ht="15" customHeight="1">
      <c r="A4289" t="inlineStr">
        <is>
          <t>A 18648-2022</t>
        </is>
      </c>
      <c r="B4289" s="1" t="n">
        <v>44687</v>
      </c>
      <c r="C4289" s="1" t="n">
        <v>45210</v>
      </c>
      <c r="D4289" t="inlineStr">
        <is>
          <t>DALARNAS LÄN</t>
        </is>
      </c>
      <c r="E4289" t="inlineStr">
        <is>
          <t>GAGNEF</t>
        </is>
      </c>
      <c r="F4289" t="inlineStr">
        <is>
          <t>Bergvik skog väst AB</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18650-2022</t>
        </is>
      </c>
      <c r="B4290" s="1" t="n">
        <v>44687</v>
      </c>
      <c r="C4290" s="1" t="n">
        <v>45210</v>
      </c>
      <c r="D4290" t="inlineStr">
        <is>
          <t>DALARNAS LÄN</t>
        </is>
      </c>
      <c r="E4290" t="inlineStr">
        <is>
          <t>GAGNEF</t>
        </is>
      </c>
      <c r="F4290" t="inlineStr">
        <is>
          <t>Bergvik skog väst AB</t>
        </is>
      </c>
      <c r="G4290" t="n">
        <v>2.4</v>
      </c>
      <c r="H4290" t="n">
        <v>0</v>
      </c>
      <c r="I4290" t="n">
        <v>0</v>
      </c>
      <c r="J4290" t="n">
        <v>0</v>
      </c>
      <c r="K4290" t="n">
        <v>0</v>
      </c>
      <c r="L4290" t="n">
        <v>0</v>
      </c>
      <c r="M4290" t="n">
        <v>0</v>
      </c>
      <c r="N4290" t="n">
        <v>0</v>
      </c>
      <c r="O4290" t="n">
        <v>0</v>
      </c>
      <c r="P4290" t="n">
        <v>0</v>
      </c>
      <c r="Q4290" t="n">
        <v>0</v>
      </c>
      <c r="R4290" s="2" t="inlineStr"/>
    </row>
    <row r="4291" ht="15" customHeight="1">
      <c r="A4291" t="inlineStr">
        <is>
          <t>A 18591-2022</t>
        </is>
      </c>
      <c r="B4291" s="1" t="n">
        <v>44687</v>
      </c>
      <c r="C4291" s="1" t="n">
        <v>45210</v>
      </c>
      <c r="D4291" t="inlineStr">
        <is>
          <t>DALARNAS LÄN</t>
        </is>
      </c>
      <c r="E4291" t="inlineStr">
        <is>
          <t>MALUNG-SÄLEN</t>
        </is>
      </c>
      <c r="F4291" t="inlineStr">
        <is>
          <t>Bergvik skog öst AB</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18717-2022</t>
        </is>
      </c>
      <c r="B4292" s="1" t="n">
        <v>44687</v>
      </c>
      <c r="C4292" s="1" t="n">
        <v>45210</v>
      </c>
      <c r="D4292" t="inlineStr">
        <is>
          <t>DALARNAS LÄN</t>
        </is>
      </c>
      <c r="E4292" t="inlineStr">
        <is>
          <t>ÄLVDALEN</t>
        </is>
      </c>
      <c r="F4292" t="inlineStr">
        <is>
          <t>Sveaskog</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18758-2022</t>
        </is>
      </c>
      <c r="B4293" s="1" t="n">
        <v>44688</v>
      </c>
      <c r="C4293" s="1" t="n">
        <v>45210</v>
      </c>
      <c r="D4293" t="inlineStr">
        <is>
          <t>DALARNAS LÄN</t>
        </is>
      </c>
      <c r="E4293" t="inlineStr">
        <is>
          <t>SÄTER</t>
        </is>
      </c>
      <c r="F4293" t="inlineStr">
        <is>
          <t>Bergvik skog väst AB</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18866-2022</t>
        </is>
      </c>
      <c r="B4294" s="1" t="n">
        <v>44690</v>
      </c>
      <c r="C4294" s="1" t="n">
        <v>45210</v>
      </c>
      <c r="D4294" t="inlineStr">
        <is>
          <t>DALARNAS LÄN</t>
        </is>
      </c>
      <c r="E4294" t="inlineStr">
        <is>
          <t>LEKSAND</t>
        </is>
      </c>
      <c r="F4294" t="inlineStr">
        <is>
          <t>Övriga Aktiebolag</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19162-2022</t>
        </is>
      </c>
      <c r="B4295" s="1" t="n">
        <v>44691</v>
      </c>
      <c r="C4295" s="1" t="n">
        <v>45210</v>
      </c>
      <c r="D4295" t="inlineStr">
        <is>
          <t>DALARNAS LÄN</t>
        </is>
      </c>
      <c r="E4295" t="inlineStr">
        <is>
          <t>SÄTER</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19151-2022</t>
        </is>
      </c>
      <c r="B4296" s="1" t="n">
        <v>44691</v>
      </c>
      <c r="C4296" s="1" t="n">
        <v>45210</v>
      </c>
      <c r="D4296" t="inlineStr">
        <is>
          <t>DALARNAS LÄN</t>
        </is>
      </c>
      <c r="E4296" t="inlineStr">
        <is>
          <t>SÄTER</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19192-2022</t>
        </is>
      </c>
      <c r="B4297" s="1" t="n">
        <v>44691</v>
      </c>
      <c r="C4297" s="1" t="n">
        <v>45210</v>
      </c>
      <c r="D4297" t="inlineStr">
        <is>
          <t>DALARNAS LÄN</t>
        </is>
      </c>
      <c r="E4297" t="inlineStr">
        <is>
          <t>ÄLVDALEN</t>
        </is>
      </c>
      <c r="F4297" t="inlineStr">
        <is>
          <t>Allmännings- och besparingsskogar</t>
        </is>
      </c>
      <c r="G4297" t="n">
        <v>47.7</v>
      </c>
      <c r="H4297" t="n">
        <v>0</v>
      </c>
      <c r="I4297" t="n">
        <v>0</v>
      </c>
      <c r="J4297" t="n">
        <v>0</v>
      </c>
      <c r="K4297" t="n">
        <v>0</v>
      </c>
      <c r="L4297" t="n">
        <v>0</v>
      </c>
      <c r="M4297" t="n">
        <v>0</v>
      </c>
      <c r="N4297" t="n">
        <v>0</v>
      </c>
      <c r="O4297" t="n">
        <v>0</v>
      </c>
      <c r="P4297" t="n">
        <v>0</v>
      </c>
      <c r="Q4297" t="n">
        <v>0</v>
      </c>
      <c r="R4297" s="2" t="inlineStr"/>
    </row>
    <row r="4298" ht="15" customHeight="1">
      <c r="A4298" t="inlineStr">
        <is>
          <t>A 19160-2022</t>
        </is>
      </c>
      <c r="B4298" s="1" t="n">
        <v>44691</v>
      </c>
      <c r="C4298" s="1" t="n">
        <v>45210</v>
      </c>
      <c r="D4298" t="inlineStr">
        <is>
          <t>DALARNAS LÄN</t>
        </is>
      </c>
      <c r="E4298" t="inlineStr">
        <is>
          <t>MALUNG-SÄLEN</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19067-2022</t>
        </is>
      </c>
      <c r="B4299" s="1" t="n">
        <v>44691</v>
      </c>
      <c r="C4299" s="1" t="n">
        <v>45210</v>
      </c>
      <c r="D4299" t="inlineStr">
        <is>
          <t>DALARNAS LÄN</t>
        </is>
      </c>
      <c r="E4299" t="inlineStr">
        <is>
          <t>ORSA</t>
        </is>
      </c>
      <c r="F4299" t="inlineStr">
        <is>
          <t>Bergvik skog öst AB</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19216-2022</t>
        </is>
      </c>
      <c r="B4300" s="1" t="n">
        <v>44692</v>
      </c>
      <c r="C4300" s="1" t="n">
        <v>45210</v>
      </c>
      <c r="D4300" t="inlineStr">
        <is>
          <t>DALARNAS LÄN</t>
        </is>
      </c>
      <c r="E4300" t="inlineStr">
        <is>
          <t>RÄTTVIK</t>
        </is>
      </c>
      <c r="G4300" t="n">
        <v>4.2</v>
      </c>
      <c r="H4300" t="n">
        <v>0</v>
      </c>
      <c r="I4300" t="n">
        <v>0</v>
      </c>
      <c r="J4300" t="n">
        <v>0</v>
      </c>
      <c r="K4300" t="n">
        <v>0</v>
      </c>
      <c r="L4300" t="n">
        <v>0</v>
      </c>
      <c r="M4300" t="n">
        <v>0</v>
      </c>
      <c r="N4300" t="n">
        <v>0</v>
      </c>
      <c r="O4300" t="n">
        <v>0</v>
      </c>
      <c r="P4300" t="n">
        <v>0</v>
      </c>
      <c r="Q4300" t="n">
        <v>0</v>
      </c>
      <c r="R4300" s="2" t="inlineStr"/>
    </row>
    <row r="4301" ht="15" customHeight="1">
      <c r="A4301" t="inlineStr">
        <is>
          <t>A 19353-2022</t>
        </is>
      </c>
      <c r="B4301" s="1" t="n">
        <v>44692</v>
      </c>
      <c r="C4301" s="1" t="n">
        <v>45210</v>
      </c>
      <c r="D4301" t="inlineStr">
        <is>
          <t>DALARNAS LÄN</t>
        </is>
      </c>
      <c r="E4301" t="inlineStr">
        <is>
          <t>MALUNG-SÄLEN</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19359-2022</t>
        </is>
      </c>
      <c r="B4302" s="1" t="n">
        <v>44692</v>
      </c>
      <c r="C4302" s="1" t="n">
        <v>45210</v>
      </c>
      <c r="D4302" t="inlineStr">
        <is>
          <t>DALARNAS LÄN</t>
        </is>
      </c>
      <c r="E4302" t="inlineStr">
        <is>
          <t>MALUNG-SÄLEN</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19467-2022</t>
        </is>
      </c>
      <c r="B4303" s="1" t="n">
        <v>44693</v>
      </c>
      <c r="C4303" s="1" t="n">
        <v>45210</v>
      </c>
      <c r="D4303" t="inlineStr">
        <is>
          <t>DALARNAS LÄN</t>
        </is>
      </c>
      <c r="E4303" t="inlineStr">
        <is>
          <t>LEKSAND</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19505-2022</t>
        </is>
      </c>
      <c r="B4304" s="1" t="n">
        <v>44693</v>
      </c>
      <c r="C4304" s="1" t="n">
        <v>45210</v>
      </c>
      <c r="D4304" t="inlineStr">
        <is>
          <t>DALARNAS LÄN</t>
        </is>
      </c>
      <c r="E4304" t="inlineStr">
        <is>
          <t>ORSA</t>
        </is>
      </c>
      <c r="G4304" t="n">
        <v>2.7</v>
      </c>
      <c r="H4304" t="n">
        <v>0</v>
      </c>
      <c r="I4304" t="n">
        <v>0</v>
      </c>
      <c r="J4304" t="n">
        <v>0</v>
      </c>
      <c r="K4304" t="n">
        <v>0</v>
      </c>
      <c r="L4304" t="n">
        <v>0</v>
      </c>
      <c r="M4304" t="n">
        <v>0</v>
      </c>
      <c r="N4304" t="n">
        <v>0</v>
      </c>
      <c r="O4304" t="n">
        <v>0</v>
      </c>
      <c r="P4304" t="n">
        <v>0</v>
      </c>
      <c r="Q4304" t="n">
        <v>0</v>
      </c>
      <c r="R4304" s="2" t="inlineStr"/>
    </row>
    <row r="4305" ht="15" customHeight="1">
      <c r="A4305" t="inlineStr">
        <is>
          <t>A 19480-2022</t>
        </is>
      </c>
      <c r="B4305" s="1" t="n">
        <v>44693</v>
      </c>
      <c r="C4305" s="1" t="n">
        <v>45210</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19841-2022</t>
        </is>
      </c>
      <c r="B4306" s="1" t="n">
        <v>44696</v>
      </c>
      <c r="C4306" s="1" t="n">
        <v>45210</v>
      </c>
      <c r="D4306" t="inlineStr">
        <is>
          <t>DALARNAS LÄN</t>
        </is>
      </c>
      <c r="E4306" t="inlineStr">
        <is>
          <t>MALUNG-SÄLEN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19903-2022</t>
        </is>
      </c>
      <c r="B4307" s="1" t="n">
        <v>44697</v>
      </c>
      <c r="C4307" s="1" t="n">
        <v>45210</v>
      </c>
      <c r="D4307" t="inlineStr">
        <is>
          <t>DALARNAS LÄN</t>
        </is>
      </c>
      <c r="E4307" t="inlineStr">
        <is>
          <t>FALUN</t>
        </is>
      </c>
      <c r="G4307" t="n">
        <v>3.2</v>
      </c>
      <c r="H4307" t="n">
        <v>0</v>
      </c>
      <c r="I4307" t="n">
        <v>0</v>
      </c>
      <c r="J4307" t="n">
        <v>0</v>
      </c>
      <c r="K4307" t="n">
        <v>0</v>
      </c>
      <c r="L4307" t="n">
        <v>0</v>
      </c>
      <c r="M4307" t="n">
        <v>0</v>
      </c>
      <c r="N4307" t="n">
        <v>0</v>
      </c>
      <c r="O4307" t="n">
        <v>0</v>
      </c>
      <c r="P4307" t="n">
        <v>0</v>
      </c>
      <c r="Q4307" t="n">
        <v>0</v>
      </c>
      <c r="R4307" s="2" t="inlineStr"/>
    </row>
    <row r="4308" ht="15" customHeight="1">
      <c r="A4308" t="inlineStr">
        <is>
          <t>A 19939-2022</t>
        </is>
      </c>
      <c r="B4308" s="1" t="n">
        <v>44697</v>
      </c>
      <c r="C4308" s="1" t="n">
        <v>45210</v>
      </c>
      <c r="D4308" t="inlineStr">
        <is>
          <t>DALARNAS LÄN</t>
        </is>
      </c>
      <c r="E4308" t="inlineStr">
        <is>
          <t>ÄLVDALEN</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19933-2022</t>
        </is>
      </c>
      <c r="B4309" s="1" t="n">
        <v>44697</v>
      </c>
      <c r="C4309" s="1" t="n">
        <v>45210</v>
      </c>
      <c r="D4309" t="inlineStr">
        <is>
          <t>DALARNAS LÄN</t>
        </is>
      </c>
      <c r="E4309" t="inlineStr">
        <is>
          <t>ÄLVDALEN</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20167-2022</t>
        </is>
      </c>
      <c r="B4310" s="1" t="n">
        <v>44698</v>
      </c>
      <c r="C4310" s="1" t="n">
        <v>45210</v>
      </c>
      <c r="D4310" t="inlineStr">
        <is>
          <t>DALARNAS LÄN</t>
        </is>
      </c>
      <c r="E4310" t="inlineStr">
        <is>
          <t>FALUN</t>
        </is>
      </c>
      <c r="F4310" t="inlineStr">
        <is>
          <t>Bergvik skog väst AB</t>
        </is>
      </c>
      <c r="G4310" t="n">
        <v>1.1</v>
      </c>
      <c r="H4310" t="n">
        <v>0</v>
      </c>
      <c r="I4310" t="n">
        <v>0</v>
      </c>
      <c r="J4310" t="n">
        <v>0</v>
      </c>
      <c r="K4310" t="n">
        <v>0</v>
      </c>
      <c r="L4310" t="n">
        <v>0</v>
      </c>
      <c r="M4310" t="n">
        <v>0</v>
      </c>
      <c r="N4310" t="n">
        <v>0</v>
      </c>
      <c r="O4310" t="n">
        <v>0</v>
      </c>
      <c r="P4310" t="n">
        <v>0</v>
      </c>
      <c r="Q4310" t="n">
        <v>0</v>
      </c>
      <c r="R4310" s="2" t="inlineStr"/>
    </row>
    <row r="4311" ht="15" customHeight="1">
      <c r="A4311" t="inlineStr">
        <is>
          <t>A 20142-2022</t>
        </is>
      </c>
      <c r="B4311" s="1" t="n">
        <v>44698</v>
      </c>
      <c r="C4311" s="1" t="n">
        <v>45210</v>
      </c>
      <c r="D4311" t="inlineStr">
        <is>
          <t>DALARNAS LÄN</t>
        </is>
      </c>
      <c r="E4311" t="inlineStr">
        <is>
          <t>FALUN</t>
        </is>
      </c>
      <c r="F4311" t="inlineStr">
        <is>
          <t>Bergvik skog väst AB</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20401-2022</t>
        </is>
      </c>
      <c r="B4312" s="1" t="n">
        <v>44699</v>
      </c>
      <c r="C4312" s="1" t="n">
        <v>45210</v>
      </c>
      <c r="D4312" t="inlineStr">
        <is>
          <t>DALARNAS LÄN</t>
        </is>
      </c>
      <c r="E4312" t="inlineStr">
        <is>
          <t>MORA</t>
        </is>
      </c>
      <c r="G4312" t="n">
        <v>3.2</v>
      </c>
      <c r="H4312" t="n">
        <v>0</v>
      </c>
      <c r="I4312" t="n">
        <v>0</v>
      </c>
      <c r="J4312" t="n">
        <v>0</v>
      </c>
      <c r="K4312" t="n">
        <v>0</v>
      </c>
      <c r="L4312" t="n">
        <v>0</v>
      </c>
      <c r="M4312" t="n">
        <v>0</v>
      </c>
      <c r="N4312" t="n">
        <v>0</v>
      </c>
      <c r="O4312" t="n">
        <v>0</v>
      </c>
      <c r="P4312" t="n">
        <v>0</v>
      </c>
      <c r="Q4312" t="n">
        <v>0</v>
      </c>
      <c r="R4312" s="2" t="inlineStr"/>
    </row>
    <row r="4313" ht="15" customHeight="1">
      <c r="A4313" t="inlineStr">
        <is>
          <t>A 20493-2022</t>
        </is>
      </c>
      <c r="B4313" s="1" t="n">
        <v>44699</v>
      </c>
      <c r="C4313" s="1" t="n">
        <v>45210</v>
      </c>
      <c r="D4313" t="inlineStr">
        <is>
          <t>DALARNAS LÄN</t>
        </is>
      </c>
      <c r="E4313" t="inlineStr">
        <is>
          <t>ORSA</t>
        </is>
      </c>
      <c r="F4313" t="inlineStr">
        <is>
          <t>Bergvik skog väst AB</t>
        </is>
      </c>
      <c r="G4313" t="n">
        <v>61.7</v>
      </c>
      <c r="H4313" t="n">
        <v>0</v>
      </c>
      <c r="I4313" t="n">
        <v>0</v>
      </c>
      <c r="J4313" t="n">
        <v>0</v>
      </c>
      <c r="K4313" t="n">
        <v>0</v>
      </c>
      <c r="L4313" t="n">
        <v>0</v>
      </c>
      <c r="M4313" t="n">
        <v>0</v>
      </c>
      <c r="N4313" t="n">
        <v>0</v>
      </c>
      <c r="O4313" t="n">
        <v>0</v>
      </c>
      <c r="P4313" t="n">
        <v>0</v>
      </c>
      <c r="Q4313" t="n">
        <v>0</v>
      </c>
      <c r="R4313" s="2" t="inlineStr"/>
    </row>
    <row r="4314" ht="15" customHeight="1">
      <c r="A4314" t="inlineStr">
        <is>
          <t>A 20656-2022</t>
        </is>
      </c>
      <c r="B4314" s="1" t="n">
        <v>44700</v>
      </c>
      <c r="C4314" s="1" t="n">
        <v>45210</v>
      </c>
      <c r="D4314" t="inlineStr">
        <is>
          <t>DALARNAS LÄN</t>
        </is>
      </c>
      <c r="E4314" t="inlineStr">
        <is>
          <t>LUDVIKA</t>
        </is>
      </c>
      <c r="F4314" t="inlineStr">
        <is>
          <t>Bergvik skog väst AB</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20623-2022</t>
        </is>
      </c>
      <c r="B4315" s="1" t="n">
        <v>44700</v>
      </c>
      <c r="C4315" s="1" t="n">
        <v>45210</v>
      </c>
      <c r="D4315" t="inlineStr">
        <is>
          <t>DALARNAS LÄN</t>
        </is>
      </c>
      <c r="E4315" t="inlineStr">
        <is>
          <t>SMEDJEBACKEN</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20874-2022</t>
        </is>
      </c>
      <c r="B4316" s="1" t="n">
        <v>44701</v>
      </c>
      <c r="C4316" s="1" t="n">
        <v>45210</v>
      </c>
      <c r="D4316" t="inlineStr">
        <is>
          <t>DALARNAS LÄN</t>
        </is>
      </c>
      <c r="E4316" t="inlineStr">
        <is>
          <t>RÄTTVIK</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20903-2022</t>
        </is>
      </c>
      <c r="B4317" s="1" t="n">
        <v>44701</v>
      </c>
      <c r="C4317" s="1" t="n">
        <v>45210</v>
      </c>
      <c r="D4317" t="inlineStr">
        <is>
          <t>DALARNAS LÄN</t>
        </is>
      </c>
      <c r="E4317" t="inlineStr">
        <is>
          <t>FALUN</t>
        </is>
      </c>
      <c r="F4317" t="inlineStr">
        <is>
          <t>Bergvik skog väst AB</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20852-2022</t>
        </is>
      </c>
      <c r="B4318" s="1" t="n">
        <v>44701</v>
      </c>
      <c r="C4318" s="1" t="n">
        <v>45210</v>
      </c>
      <c r="D4318" t="inlineStr">
        <is>
          <t>DALARNAS LÄN</t>
        </is>
      </c>
      <c r="E4318" t="inlineStr">
        <is>
          <t>LUDVIKA</t>
        </is>
      </c>
      <c r="F4318" t="inlineStr">
        <is>
          <t>Bergvik skog väst AB</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20931-2022</t>
        </is>
      </c>
      <c r="B4319" s="1" t="n">
        <v>44701</v>
      </c>
      <c r="C4319" s="1" t="n">
        <v>45210</v>
      </c>
      <c r="D4319" t="inlineStr">
        <is>
          <t>DALARNAS LÄN</t>
        </is>
      </c>
      <c r="E4319" t="inlineStr">
        <is>
          <t>VANSBRO</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21565-2022</t>
        </is>
      </c>
      <c r="B4320" s="1" t="n">
        <v>44704</v>
      </c>
      <c r="C4320" s="1" t="n">
        <v>45210</v>
      </c>
      <c r="D4320" t="inlineStr">
        <is>
          <t>DALARNAS LÄN</t>
        </is>
      </c>
      <c r="E4320" t="inlineStr">
        <is>
          <t>LEKSAND</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21169-2022</t>
        </is>
      </c>
      <c r="B4321" s="1" t="n">
        <v>44704</v>
      </c>
      <c r="C4321" s="1" t="n">
        <v>45210</v>
      </c>
      <c r="D4321" t="inlineStr">
        <is>
          <t>DALARNAS LÄN</t>
        </is>
      </c>
      <c r="E4321" t="inlineStr">
        <is>
          <t>FALUN</t>
        </is>
      </c>
      <c r="F4321" t="inlineStr">
        <is>
          <t>Bergvik skog väst AB</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21273-2022</t>
        </is>
      </c>
      <c r="B4322" s="1" t="n">
        <v>44705</v>
      </c>
      <c r="C4322" s="1" t="n">
        <v>45210</v>
      </c>
      <c r="D4322" t="inlineStr">
        <is>
          <t>DALARNAS LÄN</t>
        </is>
      </c>
      <c r="E4322" t="inlineStr">
        <is>
          <t>MORA</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21280-2022</t>
        </is>
      </c>
      <c r="B4323" s="1" t="n">
        <v>44705</v>
      </c>
      <c r="C4323" s="1" t="n">
        <v>45210</v>
      </c>
      <c r="D4323" t="inlineStr">
        <is>
          <t>DALARNAS LÄN</t>
        </is>
      </c>
      <c r="E4323" t="inlineStr">
        <is>
          <t>ÄLVDALEN</t>
        </is>
      </c>
      <c r="G4323" t="n">
        <v>4.5</v>
      </c>
      <c r="H4323" t="n">
        <v>0</v>
      </c>
      <c r="I4323" t="n">
        <v>0</v>
      </c>
      <c r="J4323" t="n">
        <v>0</v>
      </c>
      <c r="K4323" t="n">
        <v>0</v>
      </c>
      <c r="L4323" t="n">
        <v>0</v>
      </c>
      <c r="M4323" t="n">
        <v>0</v>
      </c>
      <c r="N4323" t="n">
        <v>0</v>
      </c>
      <c r="O4323" t="n">
        <v>0</v>
      </c>
      <c r="P4323" t="n">
        <v>0</v>
      </c>
      <c r="Q4323" t="n">
        <v>0</v>
      </c>
      <c r="R4323" s="2" t="inlineStr"/>
    </row>
    <row r="4324" ht="15" customHeight="1">
      <c r="A4324" t="inlineStr">
        <is>
          <t>A 21322-2022</t>
        </is>
      </c>
      <c r="B4324" s="1" t="n">
        <v>44705</v>
      </c>
      <c r="C4324" s="1" t="n">
        <v>45210</v>
      </c>
      <c r="D4324" t="inlineStr">
        <is>
          <t>DALARNAS LÄN</t>
        </is>
      </c>
      <c r="E4324" t="inlineStr">
        <is>
          <t>BORLÄNGE</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21279-2022</t>
        </is>
      </c>
      <c r="B4325" s="1" t="n">
        <v>44705</v>
      </c>
      <c r="C4325" s="1" t="n">
        <v>45210</v>
      </c>
      <c r="D4325" t="inlineStr">
        <is>
          <t>DALARNAS LÄN</t>
        </is>
      </c>
      <c r="E4325" t="inlineStr">
        <is>
          <t>ÄLVDALEN</t>
        </is>
      </c>
      <c r="G4325" t="n">
        <v>4.6</v>
      </c>
      <c r="H4325" t="n">
        <v>0</v>
      </c>
      <c r="I4325" t="n">
        <v>0</v>
      </c>
      <c r="J4325" t="n">
        <v>0</v>
      </c>
      <c r="K4325" t="n">
        <v>0</v>
      </c>
      <c r="L4325" t="n">
        <v>0</v>
      </c>
      <c r="M4325" t="n">
        <v>0</v>
      </c>
      <c r="N4325" t="n">
        <v>0</v>
      </c>
      <c r="O4325" t="n">
        <v>0</v>
      </c>
      <c r="P4325" t="n">
        <v>0</v>
      </c>
      <c r="Q4325" t="n">
        <v>0</v>
      </c>
      <c r="R4325" s="2" t="inlineStr"/>
    </row>
    <row r="4326" ht="15" customHeight="1">
      <c r="A4326" t="inlineStr">
        <is>
          <t>A 21631-2022</t>
        </is>
      </c>
      <c r="B4326" s="1" t="n">
        <v>44706</v>
      </c>
      <c r="C4326" s="1" t="n">
        <v>45210</v>
      </c>
      <c r="D4326" t="inlineStr">
        <is>
          <t>DALARNAS LÄN</t>
        </is>
      </c>
      <c r="E4326" t="inlineStr">
        <is>
          <t>SMEDJEBACKEN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21466-2022</t>
        </is>
      </c>
      <c r="B4327" s="1" t="n">
        <v>44706</v>
      </c>
      <c r="C4327" s="1" t="n">
        <v>45210</v>
      </c>
      <c r="D4327" t="inlineStr">
        <is>
          <t>DALARNAS LÄN</t>
        </is>
      </c>
      <c r="E4327" t="inlineStr">
        <is>
          <t>LUDVIKA</t>
        </is>
      </c>
      <c r="F4327" t="inlineStr">
        <is>
          <t>Bergvik skog väst AB</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21630-2022</t>
        </is>
      </c>
      <c r="B4328" s="1" t="n">
        <v>44706</v>
      </c>
      <c r="C4328" s="1" t="n">
        <v>45210</v>
      </c>
      <c r="D4328" t="inlineStr">
        <is>
          <t>DALARNAS LÄN</t>
        </is>
      </c>
      <c r="E4328" t="inlineStr">
        <is>
          <t>ÄLVDALEN</t>
        </is>
      </c>
      <c r="F4328" t="inlineStr">
        <is>
          <t>Övriga statliga verk och myndigheter</t>
        </is>
      </c>
      <c r="G4328" t="n">
        <v>5.2</v>
      </c>
      <c r="H4328" t="n">
        <v>0</v>
      </c>
      <c r="I4328" t="n">
        <v>0</v>
      </c>
      <c r="J4328" t="n">
        <v>0</v>
      </c>
      <c r="K4328" t="n">
        <v>0</v>
      </c>
      <c r="L4328" t="n">
        <v>0</v>
      </c>
      <c r="M4328" t="n">
        <v>0</v>
      </c>
      <c r="N4328" t="n">
        <v>0</v>
      </c>
      <c r="O4328" t="n">
        <v>0</v>
      </c>
      <c r="P4328" t="n">
        <v>0</v>
      </c>
      <c r="Q4328" t="n">
        <v>0</v>
      </c>
      <c r="R4328" s="2" t="inlineStr"/>
    </row>
    <row r="4329" ht="15" customHeight="1">
      <c r="A4329" t="inlineStr">
        <is>
          <t>A 21752-2022</t>
        </is>
      </c>
      <c r="B4329" s="1" t="n">
        <v>44708</v>
      </c>
      <c r="C4329" s="1" t="n">
        <v>45210</v>
      </c>
      <c r="D4329" t="inlineStr">
        <is>
          <t>DALARNAS LÄN</t>
        </is>
      </c>
      <c r="E4329" t="inlineStr">
        <is>
          <t>VANSBRO</t>
        </is>
      </c>
      <c r="G4329" t="n">
        <v>7.2</v>
      </c>
      <c r="H4329" t="n">
        <v>0</v>
      </c>
      <c r="I4329" t="n">
        <v>0</v>
      </c>
      <c r="J4329" t="n">
        <v>0</v>
      </c>
      <c r="K4329" t="n">
        <v>0</v>
      </c>
      <c r="L4329" t="n">
        <v>0</v>
      </c>
      <c r="M4329" t="n">
        <v>0</v>
      </c>
      <c r="N4329" t="n">
        <v>0</v>
      </c>
      <c r="O4329" t="n">
        <v>0</v>
      </c>
      <c r="P4329" t="n">
        <v>0</v>
      </c>
      <c r="Q4329" t="n">
        <v>0</v>
      </c>
      <c r="R4329" s="2" t="inlineStr"/>
    </row>
    <row r="4330" ht="15" customHeight="1">
      <c r="A4330" t="inlineStr">
        <is>
          <t>A 21841-2022</t>
        </is>
      </c>
      <c r="B4330" s="1" t="n">
        <v>44711</v>
      </c>
      <c r="C4330" s="1" t="n">
        <v>45210</v>
      </c>
      <c r="D4330" t="inlineStr">
        <is>
          <t>DALARNAS LÄN</t>
        </is>
      </c>
      <c r="E4330" t="inlineStr">
        <is>
          <t>LEKSAND</t>
        </is>
      </c>
      <c r="F4330" t="inlineStr">
        <is>
          <t>Bergvik skog väst AB</t>
        </is>
      </c>
      <c r="G4330" t="n">
        <v>3</v>
      </c>
      <c r="H4330" t="n">
        <v>0</v>
      </c>
      <c r="I4330" t="n">
        <v>0</v>
      </c>
      <c r="J4330" t="n">
        <v>0</v>
      </c>
      <c r="K4330" t="n">
        <v>0</v>
      </c>
      <c r="L4330" t="n">
        <v>0</v>
      </c>
      <c r="M4330" t="n">
        <v>0</v>
      </c>
      <c r="N4330" t="n">
        <v>0</v>
      </c>
      <c r="O4330" t="n">
        <v>0</v>
      </c>
      <c r="P4330" t="n">
        <v>0</v>
      </c>
      <c r="Q4330" t="n">
        <v>0</v>
      </c>
      <c r="R4330" s="2" t="inlineStr"/>
    </row>
    <row r="4331" ht="15" customHeight="1">
      <c r="A4331" t="inlineStr">
        <is>
          <t>A 22000-2022</t>
        </is>
      </c>
      <c r="B4331" s="1" t="n">
        <v>44711</v>
      </c>
      <c r="C4331" s="1" t="n">
        <v>45210</v>
      </c>
      <c r="D4331" t="inlineStr">
        <is>
          <t>DALARNAS LÄN</t>
        </is>
      </c>
      <c r="E4331" t="inlineStr">
        <is>
          <t>LUDVIKA</t>
        </is>
      </c>
      <c r="F4331" t="inlineStr">
        <is>
          <t>Bergvik skog väst AB</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22063-2022</t>
        </is>
      </c>
      <c r="B4332" s="1" t="n">
        <v>44711</v>
      </c>
      <c r="C4332" s="1" t="n">
        <v>45210</v>
      </c>
      <c r="D4332" t="inlineStr">
        <is>
          <t>DALARNAS LÄN</t>
        </is>
      </c>
      <c r="E4332" t="inlineStr">
        <is>
          <t>ÄLVDALEN</t>
        </is>
      </c>
      <c r="F4332" t="inlineStr">
        <is>
          <t>Bergvik skog väst AB</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21839-2022</t>
        </is>
      </c>
      <c r="B4333" s="1" t="n">
        <v>44711</v>
      </c>
      <c r="C4333" s="1" t="n">
        <v>45210</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21880-2022</t>
        </is>
      </c>
      <c r="B4334" s="1" t="n">
        <v>44711</v>
      </c>
      <c r="C4334" s="1" t="n">
        <v>45210</v>
      </c>
      <c r="D4334" t="inlineStr">
        <is>
          <t>DALARNAS LÄN</t>
        </is>
      </c>
      <c r="E4334" t="inlineStr">
        <is>
          <t>MALUNG-SÄLEN</t>
        </is>
      </c>
      <c r="G4334" t="n">
        <v>7.1</v>
      </c>
      <c r="H4334" t="n">
        <v>0</v>
      </c>
      <c r="I4334" t="n">
        <v>0</v>
      </c>
      <c r="J4334" t="n">
        <v>0</v>
      </c>
      <c r="K4334" t="n">
        <v>0</v>
      </c>
      <c r="L4334" t="n">
        <v>0</v>
      </c>
      <c r="M4334" t="n">
        <v>0</v>
      </c>
      <c r="N4334" t="n">
        <v>0</v>
      </c>
      <c r="O4334" t="n">
        <v>0</v>
      </c>
      <c r="P4334" t="n">
        <v>0</v>
      </c>
      <c r="Q4334" t="n">
        <v>0</v>
      </c>
      <c r="R4334" s="2" t="inlineStr"/>
    </row>
    <row r="4335" ht="15" customHeight="1">
      <c r="A4335" t="inlineStr">
        <is>
          <t>A 21840-2022</t>
        </is>
      </c>
      <c r="B4335" s="1" t="n">
        <v>44711</v>
      </c>
      <c r="C4335" s="1" t="n">
        <v>45210</v>
      </c>
      <c r="D4335" t="inlineStr">
        <is>
          <t>DALARNAS LÄN</t>
        </is>
      </c>
      <c r="E4335" t="inlineStr">
        <is>
          <t>LEKSAND</t>
        </is>
      </c>
      <c r="F4335" t="inlineStr">
        <is>
          <t>Bergvik skog väst AB</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21905-2022</t>
        </is>
      </c>
      <c r="B4336" s="1" t="n">
        <v>44711</v>
      </c>
      <c r="C4336" s="1" t="n">
        <v>45210</v>
      </c>
      <c r="D4336" t="inlineStr">
        <is>
          <t>DALARNAS LÄN</t>
        </is>
      </c>
      <c r="E4336" t="inlineStr">
        <is>
          <t>ORSA</t>
        </is>
      </c>
      <c r="F4336" t="inlineStr">
        <is>
          <t>Allmännings- och besparingsskogar</t>
        </is>
      </c>
      <c r="G4336" t="n">
        <v>3.1</v>
      </c>
      <c r="H4336" t="n">
        <v>0</v>
      </c>
      <c r="I4336" t="n">
        <v>0</v>
      </c>
      <c r="J4336" t="n">
        <v>0</v>
      </c>
      <c r="K4336" t="n">
        <v>0</v>
      </c>
      <c r="L4336" t="n">
        <v>0</v>
      </c>
      <c r="M4336" t="n">
        <v>0</v>
      </c>
      <c r="N4336" t="n">
        <v>0</v>
      </c>
      <c r="O4336" t="n">
        <v>0</v>
      </c>
      <c r="P4336" t="n">
        <v>0</v>
      </c>
      <c r="Q4336" t="n">
        <v>0</v>
      </c>
      <c r="R4336" s="2" t="inlineStr"/>
    </row>
    <row r="4337" ht="15" customHeight="1">
      <c r="A4337" t="inlineStr">
        <is>
          <t>A 22351-2022</t>
        </is>
      </c>
      <c r="B4337" s="1" t="n">
        <v>44713</v>
      </c>
      <c r="C4337" s="1" t="n">
        <v>45210</v>
      </c>
      <c r="D4337" t="inlineStr">
        <is>
          <t>DALARNAS LÄN</t>
        </is>
      </c>
      <c r="E4337" t="inlineStr">
        <is>
          <t>SMEDJEBACKEN</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22457-2022</t>
        </is>
      </c>
      <c r="B4338" s="1" t="n">
        <v>44713</v>
      </c>
      <c r="C4338" s="1" t="n">
        <v>45210</v>
      </c>
      <c r="D4338" t="inlineStr">
        <is>
          <t>DALARNAS LÄN</t>
        </is>
      </c>
      <c r="E4338" t="inlineStr">
        <is>
          <t>GAGNEF</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22363-2022</t>
        </is>
      </c>
      <c r="B4339" s="1" t="n">
        <v>44713</v>
      </c>
      <c r="C4339" s="1" t="n">
        <v>45210</v>
      </c>
      <c r="D4339" t="inlineStr">
        <is>
          <t>DALARNAS LÄN</t>
        </is>
      </c>
      <c r="E4339" t="inlineStr">
        <is>
          <t>BORLÄNGE</t>
        </is>
      </c>
      <c r="F4339" t="inlineStr">
        <is>
          <t>Naturvårdsverket</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22640-2022</t>
        </is>
      </c>
      <c r="B4340" s="1" t="n">
        <v>44714</v>
      </c>
      <c r="C4340" s="1" t="n">
        <v>45210</v>
      </c>
      <c r="D4340" t="inlineStr">
        <is>
          <t>DALARNAS LÄN</t>
        </is>
      </c>
      <c r="E4340" t="inlineStr">
        <is>
          <t>SMEDJEBACKEN</t>
        </is>
      </c>
      <c r="G4340" t="n">
        <v>11.5</v>
      </c>
      <c r="H4340" t="n">
        <v>0</v>
      </c>
      <c r="I4340" t="n">
        <v>0</v>
      </c>
      <c r="J4340" t="n">
        <v>0</v>
      </c>
      <c r="K4340" t="n">
        <v>0</v>
      </c>
      <c r="L4340" t="n">
        <v>0</v>
      </c>
      <c r="M4340" t="n">
        <v>0</v>
      </c>
      <c r="N4340" t="n">
        <v>0</v>
      </c>
      <c r="O4340" t="n">
        <v>0</v>
      </c>
      <c r="P4340" t="n">
        <v>0</v>
      </c>
      <c r="Q4340" t="n">
        <v>0</v>
      </c>
      <c r="R4340" s="2" t="inlineStr"/>
    </row>
    <row r="4341" ht="15" customHeight="1">
      <c r="A4341" t="inlineStr">
        <is>
          <t>A 22683-2022</t>
        </is>
      </c>
      <c r="B4341" s="1" t="n">
        <v>44714</v>
      </c>
      <c r="C4341" s="1" t="n">
        <v>45210</v>
      </c>
      <c r="D4341" t="inlineStr">
        <is>
          <t>DALARNAS LÄN</t>
        </is>
      </c>
      <c r="E4341" t="inlineStr">
        <is>
          <t>LEKSAND</t>
        </is>
      </c>
      <c r="F4341" t="inlineStr">
        <is>
          <t>Bergvik skog väst AB</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22685-2022</t>
        </is>
      </c>
      <c r="B4342" s="1" t="n">
        <v>44714</v>
      </c>
      <c r="C4342" s="1" t="n">
        <v>45210</v>
      </c>
      <c r="D4342" t="inlineStr">
        <is>
          <t>DALARNAS LÄN</t>
        </is>
      </c>
      <c r="E4342" t="inlineStr">
        <is>
          <t>LEKSAND</t>
        </is>
      </c>
      <c r="F4342" t="inlineStr">
        <is>
          <t>Bergvik skog väst AB</t>
        </is>
      </c>
      <c r="G4342" t="n">
        <v>7.3</v>
      </c>
      <c r="H4342" t="n">
        <v>0</v>
      </c>
      <c r="I4342" t="n">
        <v>0</v>
      </c>
      <c r="J4342" t="n">
        <v>0</v>
      </c>
      <c r="K4342" t="n">
        <v>0</v>
      </c>
      <c r="L4342" t="n">
        <v>0</v>
      </c>
      <c r="M4342" t="n">
        <v>0</v>
      </c>
      <c r="N4342" t="n">
        <v>0</v>
      </c>
      <c r="O4342" t="n">
        <v>0</v>
      </c>
      <c r="P4342" t="n">
        <v>0</v>
      </c>
      <c r="Q4342" t="n">
        <v>0</v>
      </c>
      <c r="R4342" s="2" t="inlineStr"/>
    </row>
    <row r="4343" ht="15" customHeight="1">
      <c r="A4343" t="inlineStr">
        <is>
          <t>A 22739-2022</t>
        </is>
      </c>
      <c r="B4343" s="1" t="n">
        <v>44714</v>
      </c>
      <c r="C4343" s="1" t="n">
        <v>45210</v>
      </c>
      <c r="D4343" t="inlineStr">
        <is>
          <t>DALARNAS LÄN</t>
        </is>
      </c>
      <c r="E4343" t="inlineStr">
        <is>
          <t>FALUN</t>
        </is>
      </c>
      <c r="F4343" t="inlineStr">
        <is>
          <t>Kyrkan</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22813-2022</t>
        </is>
      </c>
      <c r="B4344" s="1" t="n">
        <v>44715</v>
      </c>
      <c r="C4344" s="1" t="n">
        <v>45210</v>
      </c>
      <c r="D4344" t="inlineStr">
        <is>
          <t>DALARNAS LÄN</t>
        </is>
      </c>
      <c r="E4344" t="inlineStr">
        <is>
          <t>ORSA</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22970-2022</t>
        </is>
      </c>
      <c r="B4345" s="1" t="n">
        <v>44716</v>
      </c>
      <c r="C4345" s="1" t="n">
        <v>45210</v>
      </c>
      <c r="D4345" t="inlineStr">
        <is>
          <t>DALARNAS LÄN</t>
        </is>
      </c>
      <c r="E4345" t="inlineStr">
        <is>
          <t>HEDEMORA</t>
        </is>
      </c>
      <c r="F4345" t="inlineStr">
        <is>
          <t>Sveaskog</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22983-2022</t>
        </is>
      </c>
      <c r="B4346" s="1" t="n">
        <v>44717</v>
      </c>
      <c r="C4346" s="1" t="n">
        <v>45210</v>
      </c>
      <c r="D4346" t="inlineStr">
        <is>
          <t>DALARNAS LÄN</t>
        </is>
      </c>
      <c r="E4346" t="inlineStr">
        <is>
          <t>BORLÄNGE</t>
        </is>
      </c>
      <c r="G4346" t="n">
        <v>3.6</v>
      </c>
      <c r="H4346" t="n">
        <v>0</v>
      </c>
      <c r="I4346" t="n">
        <v>0</v>
      </c>
      <c r="J4346" t="n">
        <v>0</v>
      </c>
      <c r="K4346" t="n">
        <v>0</v>
      </c>
      <c r="L4346" t="n">
        <v>0</v>
      </c>
      <c r="M4346" t="n">
        <v>0</v>
      </c>
      <c r="N4346" t="n">
        <v>0</v>
      </c>
      <c r="O4346" t="n">
        <v>0</v>
      </c>
      <c r="P4346" t="n">
        <v>0</v>
      </c>
      <c r="Q4346" t="n">
        <v>0</v>
      </c>
      <c r="R4346" s="2" t="inlineStr"/>
    </row>
    <row r="4347" ht="15" customHeight="1">
      <c r="A4347" t="inlineStr">
        <is>
          <t>A 22984-2022</t>
        </is>
      </c>
      <c r="B4347" s="1" t="n">
        <v>44718</v>
      </c>
      <c r="C4347" s="1" t="n">
        <v>45210</v>
      </c>
      <c r="D4347" t="inlineStr">
        <is>
          <t>DALARNAS LÄN</t>
        </is>
      </c>
      <c r="E4347" t="inlineStr">
        <is>
          <t>SMEDJEBACKEN</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23041-2022</t>
        </is>
      </c>
      <c r="B4348" s="1" t="n">
        <v>44719</v>
      </c>
      <c r="C4348" s="1" t="n">
        <v>45210</v>
      </c>
      <c r="D4348" t="inlineStr">
        <is>
          <t>DALARNAS LÄN</t>
        </is>
      </c>
      <c r="E4348" t="inlineStr">
        <is>
          <t>RÄTTVIK</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23085-2022</t>
        </is>
      </c>
      <c r="B4349" s="1" t="n">
        <v>44719</v>
      </c>
      <c r="C4349" s="1" t="n">
        <v>45210</v>
      </c>
      <c r="D4349" t="inlineStr">
        <is>
          <t>DALARNAS LÄN</t>
        </is>
      </c>
      <c r="E4349" t="inlineStr">
        <is>
          <t>VANSBRO</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23137-2022</t>
        </is>
      </c>
      <c r="B4350" s="1" t="n">
        <v>44719</v>
      </c>
      <c r="C4350" s="1" t="n">
        <v>45210</v>
      </c>
      <c r="D4350" t="inlineStr">
        <is>
          <t>DALARNAS LÄN</t>
        </is>
      </c>
      <c r="E4350" t="inlineStr">
        <is>
          <t>LEKSAND</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23348-2022</t>
        </is>
      </c>
      <c r="B4351" s="1" t="n">
        <v>44720</v>
      </c>
      <c r="C4351" s="1" t="n">
        <v>45210</v>
      </c>
      <c r="D4351" t="inlineStr">
        <is>
          <t>DALARNAS LÄN</t>
        </is>
      </c>
      <c r="E4351" t="inlineStr">
        <is>
          <t>ORSA</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23365-2022</t>
        </is>
      </c>
      <c r="B4352" s="1" t="n">
        <v>44720</v>
      </c>
      <c r="C4352" s="1" t="n">
        <v>45210</v>
      </c>
      <c r="D4352" t="inlineStr">
        <is>
          <t>DALARNAS LÄN</t>
        </is>
      </c>
      <c r="E4352" t="inlineStr">
        <is>
          <t>AVESTA</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23345-2022</t>
        </is>
      </c>
      <c r="B4353" s="1" t="n">
        <v>44720</v>
      </c>
      <c r="C4353" s="1" t="n">
        <v>45210</v>
      </c>
      <c r="D4353" t="inlineStr">
        <is>
          <t>DALARNAS LÄN</t>
        </is>
      </c>
      <c r="E4353" t="inlineStr">
        <is>
          <t>LUDVIKA</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23258-2022</t>
        </is>
      </c>
      <c r="B4354" s="1" t="n">
        <v>44720</v>
      </c>
      <c r="C4354" s="1" t="n">
        <v>45210</v>
      </c>
      <c r="D4354" t="inlineStr">
        <is>
          <t>DALARNAS LÄN</t>
        </is>
      </c>
      <c r="E4354" t="inlineStr">
        <is>
          <t>LUDVIKA</t>
        </is>
      </c>
      <c r="F4354" t="inlineStr">
        <is>
          <t>Bergvik skog väst AB</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23354-2022</t>
        </is>
      </c>
      <c r="B4355" s="1" t="n">
        <v>44720</v>
      </c>
      <c r="C4355" s="1" t="n">
        <v>45210</v>
      </c>
      <c r="D4355" t="inlineStr">
        <is>
          <t>DALARNAS LÄN</t>
        </is>
      </c>
      <c r="E4355" t="inlineStr">
        <is>
          <t>MORA</t>
        </is>
      </c>
      <c r="G4355" t="n">
        <v>5.2</v>
      </c>
      <c r="H4355" t="n">
        <v>0</v>
      </c>
      <c r="I4355" t="n">
        <v>0</v>
      </c>
      <c r="J4355" t="n">
        <v>0</v>
      </c>
      <c r="K4355" t="n">
        <v>0</v>
      </c>
      <c r="L4355" t="n">
        <v>0</v>
      </c>
      <c r="M4355" t="n">
        <v>0</v>
      </c>
      <c r="N4355" t="n">
        <v>0</v>
      </c>
      <c r="O4355" t="n">
        <v>0</v>
      </c>
      <c r="P4355" t="n">
        <v>0</v>
      </c>
      <c r="Q4355" t="n">
        <v>0</v>
      </c>
      <c r="R4355" s="2" t="inlineStr"/>
    </row>
    <row r="4356" ht="15" customHeight="1">
      <c r="A4356" t="inlineStr">
        <is>
          <t>A 23329-2022</t>
        </is>
      </c>
      <c r="B4356" s="1" t="n">
        <v>44720</v>
      </c>
      <c r="C4356" s="1" t="n">
        <v>45210</v>
      </c>
      <c r="D4356" t="inlineStr">
        <is>
          <t>DALARNAS LÄN</t>
        </is>
      </c>
      <c r="E4356" t="inlineStr">
        <is>
          <t>HEDEMORA</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23651-2022</t>
        </is>
      </c>
      <c r="B4357" s="1" t="n">
        <v>44721</v>
      </c>
      <c r="C4357" s="1" t="n">
        <v>45210</v>
      </c>
      <c r="D4357" t="inlineStr">
        <is>
          <t>DALARNAS LÄN</t>
        </is>
      </c>
      <c r="E4357" t="inlineStr">
        <is>
          <t>MALUNG-SÄLEN</t>
        </is>
      </c>
      <c r="F4357" t="inlineStr">
        <is>
          <t>Bergvik skog väst AB</t>
        </is>
      </c>
      <c r="G4357" t="n">
        <v>9.800000000000001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23606-2022</t>
        </is>
      </c>
      <c r="B4358" s="1" t="n">
        <v>44721</v>
      </c>
      <c r="C4358" s="1" t="n">
        <v>45210</v>
      </c>
      <c r="D4358" t="inlineStr">
        <is>
          <t>DALARNAS LÄN</t>
        </is>
      </c>
      <c r="E4358" t="inlineStr">
        <is>
          <t>MALUNG-SÄLEN</t>
        </is>
      </c>
      <c r="F4358" t="inlineStr">
        <is>
          <t>Bergvik skog väst AB</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23617-2022</t>
        </is>
      </c>
      <c r="B4359" s="1" t="n">
        <v>44721</v>
      </c>
      <c r="C4359" s="1" t="n">
        <v>45210</v>
      </c>
      <c r="D4359" t="inlineStr">
        <is>
          <t>DALARNAS LÄN</t>
        </is>
      </c>
      <c r="E4359" t="inlineStr">
        <is>
          <t>MALUNG-SÄLEN</t>
        </is>
      </c>
      <c r="F4359" t="inlineStr">
        <is>
          <t>Bergvik skog väst AB</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23821-2022</t>
        </is>
      </c>
      <c r="B4360" s="1" t="n">
        <v>44722</v>
      </c>
      <c r="C4360" s="1" t="n">
        <v>45210</v>
      </c>
      <c r="D4360" t="inlineStr">
        <is>
          <t>DALARNAS LÄN</t>
        </is>
      </c>
      <c r="E4360" t="inlineStr">
        <is>
          <t>ORSA</t>
        </is>
      </c>
      <c r="F4360" t="inlineStr">
        <is>
          <t>Allmännings- och besparingsskogar</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23798-2022</t>
        </is>
      </c>
      <c r="B4361" s="1" t="n">
        <v>44722</v>
      </c>
      <c r="C4361" s="1" t="n">
        <v>45210</v>
      </c>
      <c r="D4361" t="inlineStr">
        <is>
          <t>DALARNAS LÄN</t>
        </is>
      </c>
      <c r="E4361" t="inlineStr">
        <is>
          <t>MORA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23795-2022</t>
        </is>
      </c>
      <c r="B4362" s="1" t="n">
        <v>44722</v>
      </c>
      <c r="C4362" s="1" t="n">
        <v>45210</v>
      </c>
      <c r="D4362" t="inlineStr">
        <is>
          <t>DALARNAS LÄN</t>
        </is>
      </c>
      <c r="E4362" t="inlineStr">
        <is>
          <t>MORA</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23839-2022</t>
        </is>
      </c>
      <c r="B4363" s="1" t="n">
        <v>44722</v>
      </c>
      <c r="C4363" s="1" t="n">
        <v>45210</v>
      </c>
      <c r="D4363" t="inlineStr">
        <is>
          <t>DALARNAS LÄN</t>
        </is>
      </c>
      <c r="E4363" t="inlineStr">
        <is>
          <t>HEDEMORA</t>
        </is>
      </c>
      <c r="F4363" t="inlineStr">
        <is>
          <t>Sveaskog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23808-2022</t>
        </is>
      </c>
      <c r="B4364" s="1" t="n">
        <v>44722</v>
      </c>
      <c r="C4364" s="1" t="n">
        <v>45210</v>
      </c>
      <c r="D4364" t="inlineStr">
        <is>
          <t>DALARNAS LÄN</t>
        </is>
      </c>
      <c r="E4364" t="inlineStr">
        <is>
          <t>VANSBRO</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23843-2022</t>
        </is>
      </c>
      <c r="B4365" s="1" t="n">
        <v>44722</v>
      </c>
      <c r="C4365" s="1" t="n">
        <v>45210</v>
      </c>
      <c r="D4365" t="inlineStr">
        <is>
          <t>DALARNAS LÄN</t>
        </is>
      </c>
      <c r="E4365" t="inlineStr">
        <is>
          <t>HEDEMORA</t>
        </is>
      </c>
      <c r="F4365" t="inlineStr">
        <is>
          <t>Sveaskog</t>
        </is>
      </c>
      <c r="G4365" t="n">
        <v>6</v>
      </c>
      <c r="H4365" t="n">
        <v>0</v>
      </c>
      <c r="I4365" t="n">
        <v>0</v>
      </c>
      <c r="J4365" t="n">
        <v>0</v>
      </c>
      <c r="K4365" t="n">
        <v>0</v>
      </c>
      <c r="L4365" t="n">
        <v>0</v>
      </c>
      <c r="M4365" t="n">
        <v>0</v>
      </c>
      <c r="N4365" t="n">
        <v>0</v>
      </c>
      <c r="O4365" t="n">
        <v>0</v>
      </c>
      <c r="P4365" t="n">
        <v>0</v>
      </c>
      <c r="Q4365" t="n">
        <v>0</v>
      </c>
      <c r="R4365" s="2" t="inlineStr"/>
    </row>
    <row r="4366" ht="15" customHeight="1">
      <c r="A4366" t="inlineStr">
        <is>
          <t>A 24103-2022</t>
        </is>
      </c>
      <c r="B4366" s="1" t="n">
        <v>44725</v>
      </c>
      <c r="C4366" s="1" t="n">
        <v>45210</v>
      </c>
      <c r="D4366" t="inlineStr">
        <is>
          <t>DALARNAS LÄN</t>
        </is>
      </c>
      <c r="E4366" t="inlineStr">
        <is>
          <t>MALUNG-SÄLEN</t>
        </is>
      </c>
      <c r="F4366" t="inlineStr">
        <is>
          <t>Kommuner</t>
        </is>
      </c>
      <c r="G4366" t="n">
        <v>3.8</v>
      </c>
      <c r="H4366" t="n">
        <v>0</v>
      </c>
      <c r="I4366" t="n">
        <v>0</v>
      </c>
      <c r="J4366" t="n">
        <v>0</v>
      </c>
      <c r="K4366" t="n">
        <v>0</v>
      </c>
      <c r="L4366" t="n">
        <v>0</v>
      </c>
      <c r="M4366" t="n">
        <v>0</v>
      </c>
      <c r="N4366" t="n">
        <v>0</v>
      </c>
      <c r="O4366" t="n">
        <v>0</v>
      </c>
      <c r="P4366" t="n">
        <v>0</v>
      </c>
      <c r="Q4366" t="n">
        <v>0</v>
      </c>
      <c r="R4366" s="2" t="inlineStr"/>
    </row>
    <row r="4367" ht="15" customHeight="1">
      <c r="A4367" t="inlineStr">
        <is>
          <t>A 24131-2022</t>
        </is>
      </c>
      <c r="B4367" s="1" t="n">
        <v>44725</v>
      </c>
      <c r="C4367" s="1" t="n">
        <v>45210</v>
      </c>
      <c r="D4367" t="inlineStr">
        <is>
          <t>DALARNAS LÄN</t>
        </is>
      </c>
      <c r="E4367" t="inlineStr">
        <is>
          <t>FALUN</t>
        </is>
      </c>
      <c r="F4367" t="inlineStr">
        <is>
          <t>Kyrkan</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24140-2022</t>
        </is>
      </c>
      <c r="B4368" s="1" t="n">
        <v>44725</v>
      </c>
      <c r="C4368" s="1" t="n">
        <v>45210</v>
      </c>
      <c r="D4368" t="inlineStr">
        <is>
          <t>DALARNAS LÄN</t>
        </is>
      </c>
      <c r="E4368" t="inlineStr">
        <is>
          <t>MALUNG-SÄLEN</t>
        </is>
      </c>
      <c r="F4368" t="inlineStr">
        <is>
          <t>Kommuner</t>
        </is>
      </c>
      <c r="G4368" t="n">
        <v>10.2</v>
      </c>
      <c r="H4368" t="n">
        <v>0</v>
      </c>
      <c r="I4368" t="n">
        <v>0</v>
      </c>
      <c r="J4368" t="n">
        <v>0</v>
      </c>
      <c r="K4368" t="n">
        <v>0</v>
      </c>
      <c r="L4368" t="n">
        <v>0</v>
      </c>
      <c r="M4368" t="n">
        <v>0</v>
      </c>
      <c r="N4368" t="n">
        <v>0</v>
      </c>
      <c r="O4368" t="n">
        <v>0</v>
      </c>
      <c r="P4368" t="n">
        <v>0</v>
      </c>
      <c r="Q4368" t="n">
        <v>0</v>
      </c>
      <c r="R4368" s="2" t="inlineStr"/>
    </row>
    <row r="4369" ht="15" customHeight="1">
      <c r="A4369" t="inlineStr">
        <is>
          <t>A 24165-2022</t>
        </is>
      </c>
      <c r="B4369" s="1" t="n">
        <v>44725</v>
      </c>
      <c r="C4369" s="1" t="n">
        <v>45210</v>
      </c>
      <c r="D4369" t="inlineStr">
        <is>
          <t>DALARNAS LÄN</t>
        </is>
      </c>
      <c r="E4369" t="inlineStr">
        <is>
          <t>MALUNG-SÄLEN</t>
        </is>
      </c>
      <c r="F4369" t="inlineStr">
        <is>
          <t>Kommuner</t>
        </is>
      </c>
      <c r="G4369" t="n">
        <v>21</v>
      </c>
      <c r="H4369" t="n">
        <v>0</v>
      </c>
      <c r="I4369" t="n">
        <v>0</v>
      </c>
      <c r="J4369" t="n">
        <v>0</v>
      </c>
      <c r="K4369" t="n">
        <v>0</v>
      </c>
      <c r="L4369" t="n">
        <v>0</v>
      </c>
      <c r="M4369" t="n">
        <v>0</v>
      </c>
      <c r="N4369" t="n">
        <v>0</v>
      </c>
      <c r="O4369" t="n">
        <v>0</v>
      </c>
      <c r="P4369" t="n">
        <v>0</v>
      </c>
      <c r="Q4369" t="n">
        <v>0</v>
      </c>
      <c r="R4369" s="2" t="inlineStr"/>
    </row>
    <row r="4370" ht="15" customHeight="1">
      <c r="A4370" t="inlineStr">
        <is>
          <t>A 24335-2022</t>
        </is>
      </c>
      <c r="B4370" s="1" t="n">
        <v>44725</v>
      </c>
      <c r="C4370" s="1" t="n">
        <v>45210</v>
      </c>
      <c r="D4370" t="inlineStr">
        <is>
          <t>DALARNAS LÄN</t>
        </is>
      </c>
      <c r="E4370" t="inlineStr">
        <is>
          <t>MORA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24107-2022</t>
        </is>
      </c>
      <c r="B4371" s="1" t="n">
        <v>44725</v>
      </c>
      <c r="C4371" s="1" t="n">
        <v>45210</v>
      </c>
      <c r="D4371" t="inlineStr">
        <is>
          <t>DALARNAS LÄN</t>
        </is>
      </c>
      <c r="E4371" t="inlineStr">
        <is>
          <t>MALUNG-SÄLEN</t>
        </is>
      </c>
      <c r="F4371" t="inlineStr">
        <is>
          <t>Kommuner</t>
        </is>
      </c>
      <c r="G4371" t="n">
        <v>2.4</v>
      </c>
      <c r="H4371" t="n">
        <v>0</v>
      </c>
      <c r="I4371" t="n">
        <v>0</v>
      </c>
      <c r="J4371" t="n">
        <v>0</v>
      </c>
      <c r="K4371" t="n">
        <v>0</v>
      </c>
      <c r="L4371" t="n">
        <v>0</v>
      </c>
      <c r="M4371" t="n">
        <v>0</v>
      </c>
      <c r="N4371" t="n">
        <v>0</v>
      </c>
      <c r="O4371" t="n">
        <v>0</v>
      </c>
      <c r="P4371" t="n">
        <v>0</v>
      </c>
      <c r="Q4371" t="n">
        <v>0</v>
      </c>
      <c r="R4371" s="2" t="inlineStr"/>
    </row>
    <row r="4372" ht="15" customHeight="1">
      <c r="A4372" t="inlineStr">
        <is>
          <t>A 24164-2022</t>
        </is>
      </c>
      <c r="B4372" s="1" t="n">
        <v>44725</v>
      </c>
      <c r="C4372" s="1" t="n">
        <v>45210</v>
      </c>
      <c r="D4372" t="inlineStr">
        <is>
          <t>DALARNAS LÄN</t>
        </is>
      </c>
      <c r="E4372" t="inlineStr">
        <is>
          <t>MALUNG-SÄLEN</t>
        </is>
      </c>
      <c r="F4372" t="inlineStr">
        <is>
          <t>Bergvik skog öst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24104-2022</t>
        </is>
      </c>
      <c r="B4373" s="1" t="n">
        <v>44725</v>
      </c>
      <c r="C4373" s="1" t="n">
        <v>45210</v>
      </c>
      <c r="D4373" t="inlineStr">
        <is>
          <t>DALARNAS LÄN</t>
        </is>
      </c>
      <c r="E4373" t="inlineStr">
        <is>
          <t>MALUNG-SÄLEN</t>
        </is>
      </c>
      <c r="F4373" t="inlineStr">
        <is>
          <t>Kommuner</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24223-2022</t>
        </is>
      </c>
      <c r="B4374" s="1" t="n">
        <v>44725</v>
      </c>
      <c r="C4374" s="1" t="n">
        <v>45210</v>
      </c>
      <c r="D4374" t="inlineStr">
        <is>
          <t>DALARNAS LÄN</t>
        </is>
      </c>
      <c r="E4374" t="inlineStr">
        <is>
          <t>SÄTER</t>
        </is>
      </c>
      <c r="G4374" t="n">
        <v>2.6</v>
      </c>
      <c r="H4374" t="n">
        <v>0</v>
      </c>
      <c r="I4374" t="n">
        <v>0</v>
      </c>
      <c r="J4374" t="n">
        <v>0</v>
      </c>
      <c r="K4374" t="n">
        <v>0</v>
      </c>
      <c r="L4374" t="n">
        <v>0</v>
      </c>
      <c r="M4374" t="n">
        <v>0</v>
      </c>
      <c r="N4374" t="n">
        <v>0</v>
      </c>
      <c r="O4374" t="n">
        <v>0</v>
      </c>
      <c r="P4374" t="n">
        <v>0</v>
      </c>
      <c r="Q4374" t="n">
        <v>0</v>
      </c>
      <c r="R4374" s="2" t="inlineStr"/>
    </row>
    <row r="4375" ht="15" customHeight="1">
      <c r="A4375" t="inlineStr">
        <is>
          <t>A 24253-2022</t>
        </is>
      </c>
      <c r="B4375" s="1" t="n">
        <v>44725</v>
      </c>
      <c r="C4375" s="1" t="n">
        <v>45210</v>
      </c>
      <c r="D4375" t="inlineStr">
        <is>
          <t>DALARNAS LÄN</t>
        </is>
      </c>
      <c r="E4375" t="inlineStr">
        <is>
          <t>SÄTER</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24174-2022</t>
        </is>
      </c>
      <c r="B4376" s="1" t="n">
        <v>44725</v>
      </c>
      <c r="C4376" s="1" t="n">
        <v>45210</v>
      </c>
      <c r="D4376" t="inlineStr">
        <is>
          <t>DALARNAS LÄN</t>
        </is>
      </c>
      <c r="E4376" t="inlineStr">
        <is>
          <t>MALUNG-SÄLEN</t>
        </is>
      </c>
      <c r="F4376" t="inlineStr">
        <is>
          <t>Kommuner</t>
        </is>
      </c>
      <c r="G4376" t="n">
        <v>4.5</v>
      </c>
      <c r="H4376" t="n">
        <v>0</v>
      </c>
      <c r="I4376" t="n">
        <v>0</v>
      </c>
      <c r="J4376" t="n">
        <v>0</v>
      </c>
      <c r="K4376" t="n">
        <v>0</v>
      </c>
      <c r="L4376" t="n">
        <v>0</v>
      </c>
      <c r="M4376" t="n">
        <v>0</v>
      </c>
      <c r="N4376" t="n">
        <v>0</v>
      </c>
      <c r="O4376" t="n">
        <v>0</v>
      </c>
      <c r="P4376" t="n">
        <v>0</v>
      </c>
      <c r="Q4376" t="n">
        <v>0</v>
      </c>
      <c r="R4376" s="2" t="inlineStr"/>
    </row>
    <row r="4377" ht="15" customHeight="1">
      <c r="A4377" t="inlineStr">
        <is>
          <t>A 24427-2022</t>
        </is>
      </c>
      <c r="B4377" s="1" t="n">
        <v>44726</v>
      </c>
      <c r="C4377" s="1" t="n">
        <v>45210</v>
      </c>
      <c r="D4377" t="inlineStr">
        <is>
          <t>DALARNAS LÄN</t>
        </is>
      </c>
      <c r="E4377" t="inlineStr">
        <is>
          <t>HEDEMORA</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24469-2022</t>
        </is>
      </c>
      <c r="B4378" s="1" t="n">
        <v>44726</v>
      </c>
      <c r="C4378" s="1" t="n">
        <v>45210</v>
      </c>
      <c r="D4378" t="inlineStr">
        <is>
          <t>DALARNAS LÄN</t>
        </is>
      </c>
      <c r="E4378" t="inlineStr">
        <is>
          <t>SMEDJEBACKEN</t>
        </is>
      </c>
      <c r="G4378" t="n">
        <v>4.3</v>
      </c>
      <c r="H4378" t="n">
        <v>0</v>
      </c>
      <c r="I4378" t="n">
        <v>0</v>
      </c>
      <c r="J4378" t="n">
        <v>0</v>
      </c>
      <c r="K4378" t="n">
        <v>0</v>
      </c>
      <c r="L4378" t="n">
        <v>0</v>
      </c>
      <c r="M4378" t="n">
        <v>0</v>
      </c>
      <c r="N4378" t="n">
        <v>0</v>
      </c>
      <c r="O4378" t="n">
        <v>0</v>
      </c>
      <c r="P4378" t="n">
        <v>0</v>
      </c>
      <c r="Q4378" t="n">
        <v>0</v>
      </c>
      <c r="R4378" s="2" t="inlineStr"/>
    </row>
    <row r="4379" ht="15" customHeight="1">
      <c r="A4379" t="inlineStr">
        <is>
          <t>A 24393-2022</t>
        </is>
      </c>
      <c r="B4379" s="1" t="n">
        <v>44726</v>
      </c>
      <c r="C4379" s="1" t="n">
        <v>45210</v>
      </c>
      <c r="D4379" t="inlineStr">
        <is>
          <t>DALARNAS LÄN</t>
        </is>
      </c>
      <c r="E4379" t="inlineStr">
        <is>
          <t>MORA</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24617-2022</t>
        </is>
      </c>
      <c r="B4380" s="1" t="n">
        <v>44727</v>
      </c>
      <c r="C4380" s="1" t="n">
        <v>45210</v>
      </c>
      <c r="D4380" t="inlineStr">
        <is>
          <t>DALARNAS LÄN</t>
        </is>
      </c>
      <c r="E4380" t="inlineStr">
        <is>
          <t>SÄTER</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24595-2022</t>
        </is>
      </c>
      <c r="B4381" s="1" t="n">
        <v>44727</v>
      </c>
      <c r="C4381" s="1" t="n">
        <v>45210</v>
      </c>
      <c r="D4381" t="inlineStr">
        <is>
          <t>DALARNAS LÄN</t>
        </is>
      </c>
      <c r="E4381" t="inlineStr">
        <is>
          <t>RÄTTVIK</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24706-2022</t>
        </is>
      </c>
      <c r="B4382" s="1" t="n">
        <v>44727</v>
      </c>
      <c r="C4382" s="1" t="n">
        <v>45210</v>
      </c>
      <c r="D4382" t="inlineStr">
        <is>
          <t>DALARNAS LÄN</t>
        </is>
      </c>
      <c r="E4382" t="inlineStr">
        <is>
          <t>HEDEMORA</t>
        </is>
      </c>
      <c r="G4382" t="n">
        <v>25.4</v>
      </c>
      <c r="H4382" t="n">
        <v>0</v>
      </c>
      <c r="I4382" t="n">
        <v>0</v>
      </c>
      <c r="J4382" t="n">
        <v>0</v>
      </c>
      <c r="K4382" t="n">
        <v>0</v>
      </c>
      <c r="L4382" t="n">
        <v>0</v>
      </c>
      <c r="M4382" t="n">
        <v>0</v>
      </c>
      <c r="N4382" t="n">
        <v>0</v>
      </c>
      <c r="O4382" t="n">
        <v>0</v>
      </c>
      <c r="P4382" t="n">
        <v>0</v>
      </c>
      <c r="Q4382" t="n">
        <v>0</v>
      </c>
      <c r="R4382" s="2" t="inlineStr"/>
    </row>
    <row r="4383" ht="15" customHeight="1">
      <c r="A4383" t="inlineStr">
        <is>
          <t>A 24651-2022</t>
        </is>
      </c>
      <c r="B4383" s="1" t="n">
        <v>44727</v>
      </c>
      <c r="C4383" s="1" t="n">
        <v>45210</v>
      </c>
      <c r="D4383" t="inlineStr">
        <is>
          <t>DALARNAS LÄN</t>
        </is>
      </c>
      <c r="E4383" t="inlineStr">
        <is>
          <t>ORSA</t>
        </is>
      </c>
      <c r="F4383" t="inlineStr">
        <is>
          <t>Allmännings- och besparingsskogar</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24549-2022</t>
        </is>
      </c>
      <c r="B4384" s="1" t="n">
        <v>44727</v>
      </c>
      <c r="C4384" s="1" t="n">
        <v>45210</v>
      </c>
      <c r="D4384" t="inlineStr">
        <is>
          <t>DALARNAS LÄN</t>
        </is>
      </c>
      <c r="E4384" t="inlineStr">
        <is>
          <t>SMEDJEBACKEN</t>
        </is>
      </c>
      <c r="F4384" t="inlineStr">
        <is>
          <t>Bergvik skog väst AB</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24839-2022</t>
        </is>
      </c>
      <c r="B4385" s="1" t="n">
        <v>44728</v>
      </c>
      <c r="C4385" s="1" t="n">
        <v>45210</v>
      </c>
      <c r="D4385" t="inlineStr">
        <is>
          <t>DALARNAS LÄN</t>
        </is>
      </c>
      <c r="E4385" t="inlineStr">
        <is>
          <t>VANSBRO</t>
        </is>
      </c>
      <c r="F4385" t="inlineStr">
        <is>
          <t>Bergvik skog öst AB</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24893-2022</t>
        </is>
      </c>
      <c r="B4386" s="1" t="n">
        <v>44728</v>
      </c>
      <c r="C4386" s="1" t="n">
        <v>45210</v>
      </c>
      <c r="D4386" t="inlineStr">
        <is>
          <t>DALARNAS LÄN</t>
        </is>
      </c>
      <c r="E4386" t="inlineStr">
        <is>
          <t>RÄTTVIK</t>
        </is>
      </c>
      <c r="F4386" t="inlineStr">
        <is>
          <t>Sveaskog</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24902-2022</t>
        </is>
      </c>
      <c r="B4387" s="1" t="n">
        <v>44728</v>
      </c>
      <c r="C4387" s="1" t="n">
        <v>45210</v>
      </c>
      <c r="D4387" t="inlineStr">
        <is>
          <t>DALARNAS LÄN</t>
        </is>
      </c>
      <c r="E4387" t="inlineStr">
        <is>
          <t>BORLÄNGE</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25095-2022</t>
        </is>
      </c>
      <c r="B4388" s="1" t="n">
        <v>44729</v>
      </c>
      <c r="C4388" s="1" t="n">
        <v>45210</v>
      </c>
      <c r="D4388" t="inlineStr">
        <is>
          <t>DALARNAS LÄN</t>
        </is>
      </c>
      <c r="E4388" t="inlineStr">
        <is>
          <t>LUDVIKA</t>
        </is>
      </c>
      <c r="F4388" t="inlineStr">
        <is>
          <t>Bergvik skog väst AB</t>
        </is>
      </c>
      <c r="G4388" t="n">
        <v>3.9</v>
      </c>
      <c r="H4388" t="n">
        <v>0</v>
      </c>
      <c r="I4388" t="n">
        <v>0</v>
      </c>
      <c r="J4388" t="n">
        <v>0</v>
      </c>
      <c r="K4388" t="n">
        <v>0</v>
      </c>
      <c r="L4388" t="n">
        <v>0</v>
      </c>
      <c r="M4388" t="n">
        <v>0</v>
      </c>
      <c r="N4388" t="n">
        <v>0</v>
      </c>
      <c r="O4388" t="n">
        <v>0</v>
      </c>
      <c r="P4388" t="n">
        <v>0</v>
      </c>
      <c r="Q4388" t="n">
        <v>0</v>
      </c>
      <c r="R4388" s="2" t="inlineStr"/>
    </row>
    <row r="4389" ht="15" customHeight="1">
      <c r="A4389" t="inlineStr">
        <is>
          <t>A 25112-2022</t>
        </is>
      </c>
      <c r="B4389" s="1" t="n">
        <v>44729</v>
      </c>
      <c r="C4389" s="1" t="n">
        <v>45210</v>
      </c>
      <c r="D4389" t="inlineStr">
        <is>
          <t>DALARNAS LÄN</t>
        </is>
      </c>
      <c r="E4389" t="inlineStr">
        <is>
          <t>RÄTTVIK</t>
        </is>
      </c>
      <c r="F4389" t="inlineStr">
        <is>
          <t>Sveaskog</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25181-2022</t>
        </is>
      </c>
      <c r="B4390" s="1" t="n">
        <v>44729</v>
      </c>
      <c r="C4390" s="1" t="n">
        <v>45210</v>
      </c>
      <c r="D4390" t="inlineStr">
        <is>
          <t>DALARNAS LÄN</t>
        </is>
      </c>
      <c r="E4390" t="inlineStr">
        <is>
          <t>VANSBRO</t>
        </is>
      </c>
      <c r="F4390" t="inlineStr">
        <is>
          <t>Bergvik skog väst AB</t>
        </is>
      </c>
      <c r="G4390" t="n">
        <v>3.4</v>
      </c>
      <c r="H4390" t="n">
        <v>0</v>
      </c>
      <c r="I4390" t="n">
        <v>0</v>
      </c>
      <c r="J4390" t="n">
        <v>0</v>
      </c>
      <c r="K4390" t="n">
        <v>0</v>
      </c>
      <c r="L4390" t="n">
        <v>0</v>
      </c>
      <c r="M4390" t="n">
        <v>0</v>
      </c>
      <c r="N4390" t="n">
        <v>0</v>
      </c>
      <c r="O4390" t="n">
        <v>0</v>
      </c>
      <c r="P4390" t="n">
        <v>0</v>
      </c>
      <c r="Q4390" t="n">
        <v>0</v>
      </c>
      <c r="R4390" s="2" t="inlineStr"/>
    </row>
    <row r="4391" ht="15" customHeight="1">
      <c r="A4391" t="inlineStr">
        <is>
          <t>A 25294-2022</t>
        </is>
      </c>
      <c r="B4391" s="1" t="n">
        <v>44730</v>
      </c>
      <c r="C4391" s="1" t="n">
        <v>45210</v>
      </c>
      <c r="D4391" t="inlineStr">
        <is>
          <t>DALARNAS LÄN</t>
        </is>
      </c>
      <c r="E4391" t="inlineStr">
        <is>
          <t>LUDVIKA</t>
        </is>
      </c>
      <c r="F4391" t="inlineStr">
        <is>
          <t>Bergvik skog väst AB</t>
        </is>
      </c>
      <c r="G4391" t="n">
        <v>2.4</v>
      </c>
      <c r="H4391" t="n">
        <v>0</v>
      </c>
      <c r="I4391" t="n">
        <v>0</v>
      </c>
      <c r="J4391" t="n">
        <v>0</v>
      </c>
      <c r="K4391" t="n">
        <v>0</v>
      </c>
      <c r="L4391" t="n">
        <v>0</v>
      </c>
      <c r="M4391" t="n">
        <v>0</v>
      </c>
      <c r="N4391" t="n">
        <v>0</v>
      </c>
      <c r="O4391" t="n">
        <v>0</v>
      </c>
      <c r="P4391" t="n">
        <v>0</v>
      </c>
      <c r="Q4391" t="n">
        <v>0</v>
      </c>
      <c r="R4391" s="2" t="inlineStr"/>
    </row>
    <row r="4392" ht="15" customHeight="1">
      <c r="A4392" t="inlineStr">
        <is>
          <t>A 25690-2022</t>
        </is>
      </c>
      <c r="B4392" s="1" t="n">
        <v>44732</v>
      </c>
      <c r="C4392" s="1" t="n">
        <v>45210</v>
      </c>
      <c r="D4392" t="inlineStr">
        <is>
          <t>DALARNAS LÄN</t>
        </is>
      </c>
      <c r="E4392" t="inlineStr">
        <is>
          <t>SÄTER</t>
        </is>
      </c>
      <c r="F4392" t="inlineStr">
        <is>
          <t>Bergvik skog väst AB</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25567-2022</t>
        </is>
      </c>
      <c r="B4393" s="1" t="n">
        <v>44732</v>
      </c>
      <c r="C4393" s="1" t="n">
        <v>45210</v>
      </c>
      <c r="D4393" t="inlineStr">
        <is>
          <t>DALARNAS LÄN</t>
        </is>
      </c>
      <c r="E4393" t="inlineStr">
        <is>
          <t>HEDEMORA</t>
        </is>
      </c>
      <c r="F4393" t="inlineStr">
        <is>
          <t>Bergvik skog väst AB</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25624-2022</t>
        </is>
      </c>
      <c r="B4394" s="1" t="n">
        <v>44732</v>
      </c>
      <c r="C4394" s="1" t="n">
        <v>45210</v>
      </c>
      <c r="D4394" t="inlineStr">
        <is>
          <t>DALARNAS LÄN</t>
        </is>
      </c>
      <c r="E4394" t="inlineStr">
        <is>
          <t>VANSBRO</t>
        </is>
      </c>
      <c r="F4394" t="inlineStr">
        <is>
          <t>Kyrkan</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25697-2022</t>
        </is>
      </c>
      <c r="B4395" s="1" t="n">
        <v>44732</v>
      </c>
      <c r="C4395" s="1" t="n">
        <v>45210</v>
      </c>
      <c r="D4395" t="inlineStr">
        <is>
          <t>DALARNAS LÄN</t>
        </is>
      </c>
      <c r="E4395" t="inlineStr">
        <is>
          <t>RÄTTVIK</t>
        </is>
      </c>
      <c r="G4395" t="n">
        <v>8.9</v>
      </c>
      <c r="H4395" t="n">
        <v>0</v>
      </c>
      <c r="I4395" t="n">
        <v>0</v>
      </c>
      <c r="J4395" t="n">
        <v>0</v>
      </c>
      <c r="K4395" t="n">
        <v>0</v>
      </c>
      <c r="L4395" t="n">
        <v>0</v>
      </c>
      <c r="M4395" t="n">
        <v>0</v>
      </c>
      <c r="N4395" t="n">
        <v>0</v>
      </c>
      <c r="O4395" t="n">
        <v>0</v>
      </c>
      <c r="P4395" t="n">
        <v>0</v>
      </c>
      <c r="Q4395" t="n">
        <v>0</v>
      </c>
      <c r="R4395" s="2" t="inlineStr"/>
    </row>
    <row r="4396" ht="15" customHeight="1">
      <c r="A4396" t="inlineStr">
        <is>
          <t>A 25577-2022</t>
        </is>
      </c>
      <c r="B4396" s="1" t="n">
        <v>44732</v>
      </c>
      <c r="C4396" s="1" t="n">
        <v>45210</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25754-2022</t>
        </is>
      </c>
      <c r="B4397" s="1" t="n">
        <v>44732</v>
      </c>
      <c r="C4397" s="1" t="n">
        <v>45210</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25620-2022</t>
        </is>
      </c>
      <c r="B4398" s="1" t="n">
        <v>44732</v>
      </c>
      <c r="C4398" s="1" t="n">
        <v>45210</v>
      </c>
      <c r="D4398" t="inlineStr">
        <is>
          <t>DALARNAS LÄN</t>
        </is>
      </c>
      <c r="E4398" t="inlineStr">
        <is>
          <t>GAGNEF</t>
        </is>
      </c>
      <c r="F4398" t="inlineStr">
        <is>
          <t>Kyrkan</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25692-2022</t>
        </is>
      </c>
      <c r="B4399" s="1" t="n">
        <v>44732</v>
      </c>
      <c r="C4399" s="1" t="n">
        <v>45210</v>
      </c>
      <c r="D4399" t="inlineStr">
        <is>
          <t>DALARNAS LÄN</t>
        </is>
      </c>
      <c r="E4399" t="inlineStr">
        <is>
          <t>HEDEMORA</t>
        </is>
      </c>
      <c r="F4399" t="inlineStr">
        <is>
          <t>Bergvik skog väst AB</t>
        </is>
      </c>
      <c r="G4399" t="n">
        <v>22.3</v>
      </c>
      <c r="H4399" t="n">
        <v>0</v>
      </c>
      <c r="I4399" t="n">
        <v>0</v>
      </c>
      <c r="J4399" t="n">
        <v>0</v>
      </c>
      <c r="K4399" t="n">
        <v>0</v>
      </c>
      <c r="L4399" t="n">
        <v>0</v>
      </c>
      <c r="M4399" t="n">
        <v>0</v>
      </c>
      <c r="N4399" t="n">
        <v>0</v>
      </c>
      <c r="O4399" t="n">
        <v>0</v>
      </c>
      <c r="P4399" t="n">
        <v>0</v>
      </c>
      <c r="Q4399" t="n">
        <v>0</v>
      </c>
      <c r="R4399" s="2" t="inlineStr"/>
    </row>
    <row r="4400" ht="15" customHeight="1">
      <c r="A4400" t="inlineStr">
        <is>
          <t>A 25691-2022</t>
        </is>
      </c>
      <c r="B4400" s="1" t="n">
        <v>44733</v>
      </c>
      <c r="C4400" s="1" t="n">
        <v>45210</v>
      </c>
      <c r="D4400" t="inlineStr">
        <is>
          <t>DALARNAS LÄN</t>
        </is>
      </c>
      <c r="E4400" t="inlineStr">
        <is>
          <t>HEDEMORA</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25755-2022</t>
        </is>
      </c>
      <c r="B4401" s="1" t="n">
        <v>44733</v>
      </c>
      <c r="C4401" s="1" t="n">
        <v>45210</v>
      </c>
      <c r="D4401" t="inlineStr">
        <is>
          <t>DALARNAS LÄN</t>
        </is>
      </c>
      <c r="E4401" t="inlineStr">
        <is>
          <t>LUDVIKA</t>
        </is>
      </c>
      <c r="F4401" t="inlineStr">
        <is>
          <t>Bergvik skog väst AB</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25788-2022</t>
        </is>
      </c>
      <c r="B4402" s="1" t="n">
        <v>44733</v>
      </c>
      <c r="C4402" s="1" t="n">
        <v>45210</v>
      </c>
      <c r="D4402" t="inlineStr">
        <is>
          <t>DALARNAS LÄN</t>
        </is>
      </c>
      <c r="E4402" t="inlineStr">
        <is>
          <t>SMEDJEBACKEN</t>
        </is>
      </c>
      <c r="F4402" t="inlineStr">
        <is>
          <t>Bergvik skog väst AB</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25896-2022</t>
        </is>
      </c>
      <c r="B4403" s="1" t="n">
        <v>44733</v>
      </c>
      <c r="C4403" s="1" t="n">
        <v>45210</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25895-2022</t>
        </is>
      </c>
      <c r="B4404" s="1" t="n">
        <v>44733</v>
      </c>
      <c r="C4404" s="1" t="n">
        <v>45210</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26306-2022</t>
        </is>
      </c>
      <c r="B4405" s="1" t="n">
        <v>44735</v>
      </c>
      <c r="C4405" s="1" t="n">
        <v>45210</v>
      </c>
      <c r="D4405" t="inlineStr">
        <is>
          <t>DALARNAS LÄN</t>
        </is>
      </c>
      <c r="E4405" t="inlineStr">
        <is>
          <t>RÄTTVIK</t>
        </is>
      </c>
      <c r="F4405" t="inlineStr">
        <is>
          <t>Sveaskog</t>
        </is>
      </c>
      <c r="G4405" t="n">
        <v>16.4</v>
      </c>
      <c r="H4405" t="n">
        <v>0</v>
      </c>
      <c r="I4405" t="n">
        <v>0</v>
      </c>
      <c r="J4405" t="n">
        <v>0</v>
      </c>
      <c r="K4405" t="n">
        <v>0</v>
      </c>
      <c r="L4405" t="n">
        <v>0</v>
      </c>
      <c r="M4405" t="n">
        <v>0</v>
      </c>
      <c r="N4405" t="n">
        <v>0</v>
      </c>
      <c r="O4405" t="n">
        <v>0</v>
      </c>
      <c r="P4405" t="n">
        <v>0</v>
      </c>
      <c r="Q4405" t="n">
        <v>0</v>
      </c>
      <c r="R4405" s="2" t="inlineStr"/>
    </row>
    <row r="4406" ht="15" customHeight="1">
      <c r="A4406" t="inlineStr">
        <is>
          <t>A 26263-2022</t>
        </is>
      </c>
      <c r="B4406" s="1" t="n">
        <v>44735</v>
      </c>
      <c r="C4406" s="1" t="n">
        <v>45210</v>
      </c>
      <c r="D4406" t="inlineStr">
        <is>
          <t>DALARNAS LÄN</t>
        </is>
      </c>
      <c r="E4406" t="inlineStr">
        <is>
          <t>MALUNG-SÄLEN</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26305-2022</t>
        </is>
      </c>
      <c r="B4407" s="1" t="n">
        <v>44735</v>
      </c>
      <c r="C4407" s="1" t="n">
        <v>45210</v>
      </c>
      <c r="D4407" t="inlineStr">
        <is>
          <t>DALARNAS LÄN</t>
        </is>
      </c>
      <c r="E4407" t="inlineStr">
        <is>
          <t>SMEDJEBACKEN</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26289-2022</t>
        </is>
      </c>
      <c r="B4408" s="1" t="n">
        <v>44735</v>
      </c>
      <c r="C4408" s="1" t="n">
        <v>45210</v>
      </c>
      <c r="D4408" t="inlineStr">
        <is>
          <t>DALARNAS LÄN</t>
        </is>
      </c>
      <c r="E4408" t="inlineStr">
        <is>
          <t>LEKSAND</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26427-2022</t>
        </is>
      </c>
      <c r="B4409" s="1" t="n">
        <v>44736</v>
      </c>
      <c r="C4409" s="1" t="n">
        <v>45210</v>
      </c>
      <c r="D4409" t="inlineStr">
        <is>
          <t>DALARNAS LÄN</t>
        </is>
      </c>
      <c r="E4409" t="inlineStr">
        <is>
          <t>RÄTTVIK</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26571-2022</t>
        </is>
      </c>
      <c r="B4410" s="1" t="n">
        <v>44739</v>
      </c>
      <c r="C4410" s="1" t="n">
        <v>45210</v>
      </c>
      <c r="D4410" t="inlineStr">
        <is>
          <t>DALARNAS LÄN</t>
        </is>
      </c>
      <c r="E4410" t="inlineStr">
        <is>
          <t>VANSBRO</t>
        </is>
      </c>
      <c r="F4410" t="inlineStr">
        <is>
          <t>Kommuner</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26527-2022</t>
        </is>
      </c>
      <c r="B4411" s="1" t="n">
        <v>44739</v>
      </c>
      <c r="C4411" s="1" t="n">
        <v>45210</v>
      </c>
      <c r="D4411" t="inlineStr">
        <is>
          <t>DALARNAS LÄN</t>
        </is>
      </c>
      <c r="E4411" t="inlineStr">
        <is>
          <t>AVESTA</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26667-2022</t>
        </is>
      </c>
      <c r="B4412" s="1" t="n">
        <v>44739</v>
      </c>
      <c r="C4412" s="1" t="n">
        <v>45210</v>
      </c>
      <c r="D4412" t="inlineStr">
        <is>
          <t>DALARNAS LÄN</t>
        </is>
      </c>
      <c r="E4412" t="inlineStr">
        <is>
          <t>MALUNG-SÄLEN</t>
        </is>
      </c>
      <c r="G4412" t="n">
        <v>4.2</v>
      </c>
      <c r="H4412" t="n">
        <v>0</v>
      </c>
      <c r="I4412" t="n">
        <v>0</v>
      </c>
      <c r="J4412" t="n">
        <v>0</v>
      </c>
      <c r="K4412" t="n">
        <v>0</v>
      </c>
      <c r="L4412" t="n">
        <v>0</v>
      </c>
      <c r="M4412" t="n">
        <v>0</v>
      </c>
      <c r="N4412" t="n">
        <v>0</v>
      </c>
      <c r="O4412" t="n">
        <v>0</v>
      </c>
      <c r="P4412" t="n">
        <v>0</v>
      </c>
      <c r="Q4412" t="n">
        <v>0</v>
      </c>
      <c r="R4412" s="2" t="inlineStr"/>
    </row>
    <row r="4413" ht="15" customHeight="1">
      <c r="A4413" t="inlineStr">
        <is>
          <t>A 26503-2022</t>
        </is>
      </c>
      <c r="B4413" s="1" t="n">
        <v>44739</v>
      </c>
      <c r="C4413" s="1" t="n">
        <v>45210</v>
      </c>
      <c r="D4413" t="inlineStr">
        <is>
          <t>DALARNAS LÄN</t>
        </is>
      </c>
      <c r="E4413" t="inlineStr">
        <is>
          <t>SÄTER</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26672-2022</t>
        </is>
      </c>
      <c r="B4414" s="1" t="n">
        <v>44739</v>
      </c>
      <c r="C4414" s="1" t="n">
        <v>45210</v>
      </c>
      <c r="D4414" t="inlineStr">
        <is>
          <t>DALARNAS LÄN</t>
        </is>
      </c>
      <c r="E4414" t="inlineStr">
        <is>
          <t>MALUNG-SÄLEN</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26615-2022</t>
        </is>
      </c>
      <c r="B4415" s="1" t="n">
        <v>44739</v>
      </c>
      <c r="C4415" s="1" t="n">
        <v>45210</v>
      </c>
      <c r="D4415" t="inlineStr">
        <is>
          <t>DALARNAS LÄN</t>
        </is>
      </c>
      <c r="E4415" t="inlineStr">
        <is>
          <t>FALUN</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26658-2022</t>
        </is>
      </c>
      <c r="B4416" s="1" t="n">
        <v>44739</v>
      </c>
      <c r="C4416" s="1" t="n">
        <v>45210</v>
      </c>
      <c r="D4416" t="inlineStr">
        <is>
          <t>DALARNAS LÄN</t>
        </is>
      </c>
      <c r="E4416" t="inlineStr">
        <is>
          <t>VANSBRO</t>
        </is>
      </c>
      <c r="F4416" t="inlineStr">
        <is>
          <t>Bergvik skog väst AB</t>
        </is>
      </c>
      <c r="G4416" t="n">
        <v>4.1</v>
      </c>
      <c r="H4416" t="n">
        <v>0</v>
      </c>
      <c r="I4416" t="n">
        <v>0</v>
      </c>
      <c r="J4416" t="n">
        <v>0</v>
      </c>
      <c r="K4416" t="n">
        <v>0</v>
      </c>
      <c r="L4416" t="n">
        <v>0</v>
      </c>
      <c r="M4416" t="n">
        <v>0</v>
      </c>
      <c r="N4416" t="n">
        <v>0</v>
      </c>
      <c r="O4416" t="n">
        <v>0</v>
      </c>
      <c r="P4416" t="n">
        <v>0</v>
      </c>
      <c r="Q4416" t="n">
        <v>0</v>
      </c>
      <c r="R4416" s="2" t="inlineStr"/>
    </row>
    <row r="4417" ht="15" customHeight="1">
      <c r="A4417" t="inlineStr">
        <is>
          <t>A 26882-2022</t>
        </is>
      </c>
      <c r="B4417" s="1" t="n">
        <v>44740</v>
      </c>
      <c r="C4417" s="1" t="n">
        <v>45210</v>
      </c>
      <c r="D4417" t="inlineStr">
        <is>
          <t>DALARNAS LÄN</t>
        </is>
      </c>
      <c r="E4417" t="inlineStr">
        <is>
          <t>LEKSAND</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26834-2022</t>
        </is>
      </c>
      <c r="B4418" s="1" t="n">
        <v>44740</v>
      </c>
      <c r="C4418" s="1" t="n">
        <v>45210</v>
      </c>
      <c r="D4418" t="inlineStr">
        <is>
          <t>DALARNAS LÄN</t>
        </is>
      </c>
      <c r="E4418" t="inlineStr">
        <is>
          <t>MALUNG-SÄLEN</t>
        </is>
      </c>
      <c r="F4418" t="inlineStr">
        <is>
          <t>Bergvik skog öst AB</t>
        </is>
      </c>
      <c r="G4418" t="n">
        <v>2.5</v>
      </c>
      <c r="H4418" t="n">
        <v>0</v>
      </c>
      <c r="I4418" t="n">
        <v>0</v>
      </c>
      <c r="J4418" t="n">
        <v>0</v>
      </c>
      <c r="K4418" t="n">
        <v>0</v>
      </c>
      <c r="L4418" t="n">
        <v>0</v>
      </c>
      <c r="M4418" t="n">
        <v>0</v>
      </c>
      <c r="N4418" t="n">
        <v>0</v>
      </c>
      <c r="O4418" t="n">
        <v>0</v>
      </c>
      <c r="P4418" t="n">
        <v>0</v>
      </c>
      <c r="Q4418" t="n">
        <v>0</v>
      </c>
      <c r="R4418" s="2" t="inlineStr"/>
    </row>
    <row r="4419" ht="15" customHeight="1">
      <c r="A4419" t="inlineStr">
        <is>
          <t>A 26879-2022</t>
        </is>
      </c>
      <c r="B4419" s="1" t="n">
        <v>44740</v>
      </c>
      <c r="C4419" s="1" t="n">
        <v>45210</v>
      </c>
      <c r="D4419" t="inlineStr">
        <is>
          <t>DALARNAS LÄN</t>
        </is>
      </c>
      <c r="E4419" t="inlineStr">
        <is>
          <t>RÄTTVIK</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27048-2022</t>
        </is>
      </c>
      <c r="B4420" s="1" t="n">
        <v>44741</v>
      </c>
      <c r="C4420" s="1" t="n">
        <v>45210</v>
      </c>
      <c r="D4420" t="inlineStr">
        <is>
          <t>DALARNAS LÄN</t>
        </is>
      </c>
      <c r="E4420" t="inlineStr">
        <is>
          <t>BORLÄNGE</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27226-2022</t>
        </is>
      </c>
      <c r="B4421" s="1" t="n">
        <v>44741</v>
      </c>
      <c r="C4421" s="1" t="n">
        <v>45210</v>
      </c>
      <c r="D4421" t="inlineStr">
        <is>
          <t>DALARNAS LÄN</t>
        </is>
      </c>
      <c r="E4421" t="inlineStr">
        <is>
          <t>LUDVIKA</t>
        </is>
      </c>
      <c r="F4421" t="inlineStr">
        <is>
          <t>Bergvik skog väst AB</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27139-2022</t>
        </is>
      </c>
      <c r="B4422" s="1" t="n">
        <v>44741</v>
      </c>
      <c r="C4422" s="1" t="n">
        <v>45210</v>
      </c>
      <c r="D4422" t="inlineStr">
        <is>
          <t>DALARNAS LÄN</t>
        </is>
      </c>
      <c r="E4422" t="inlineStr">
        <is>
          <t>MALUNG-SÄLEN</t>
        </is>
      </c>
      <c r="F4422" t="inlineStr">
        <is>
          <t>Kommuner</t>
        </is>
      </c>
      <c r="G4422" t="n">
        <v>4.9</v>
      </c>
      <c r="H4422" t="n">
        <v>0</v>
      </c>
      <c r="I4422" t="n">
        <v>0</v>
      </c>
      <c r="J4422" t="n">
        <v>0</v>
      </c>
      <c r="K4422" t="n">
        <v>0</v>
      </c>
      <c r="L4422" t="n">
        <v>0</v>
      </c>
      <c r="M4422" t="n">
        <v>0</v>
      </c>
      <c r="N4422" t="n">
        <v>0</v>
      </c>
      <c r="O4422" t="n">
        <v>0</v>
      </c>
      <c r="P4422" t="n">
        <v>0</v>
      </c>
      <c r="Q4422" t="n">
        <v>0</v>
      </c>
      <c r="R4422" s="2" t="inlineStr"/>
    </row>
    <row r="4423" ht="15" customHeight="1">
      <c r="A4423" t="inlineStr">
        <is>
          <t>A 27495-2022</t>
        </is>
      </c>
      <c r="B4423" s="1" t="n">
        <v>44742</v>
      </c>
      <c r="C4423" s="1" t="n">
        <v>45210</v>
      </c>
      <c r="D4423" t="inlineStr">
        <is>
          <t>DALARNAS LÄN</t>
        </is>
      </c>
      <c r="E4423" t="inlineStr">
        <is>
          <t>FALUN</t>
        </is>
      </c>
      <c r="F4423" t="inlineStr">
        <is>
          <t>Kyrkan</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27501-2022</t>
        </is>
      </c>
      <c r="B4424" s="1" t="n">
        <v>44742</v>
      </c>
      <c r="C4424" s="1" t="n">
        <v>45210</v>
      </c>
      <c r="D4424" t="inlineStr">
        <is>
          <t>DALARNAS LÄN</t>
        </is>
      </c>
      <c r="E4424" t="inlineStr">
        <is>
          <t>FALUN</t>
        </is>
      </c>
      <c r="F4424" t="inlineStr">
        <is>
          <t>Kyrkan</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27438-2022</t>
        </is>
      </c>
      <c r="B4425" s="1" t="n">
        <v>44742</v>
      </c>
      <c r="C4425" s="1" t="n">
        <v>45210</v>
      </c>
      <c r="D4425" t="inlineStr">
        <is>
          <t>DALARNAS LÄN</t>
        </is>
      </c>
      <c r="E4425" t="inlineStr">
        <is>
          <t>MORA</t>
        </is>
      </c>
      <c r="G4425" t="n">
        <v>7</v>
      </c>
      <c r="H4425" t="n">
        <v>0</v>
      </c>
      <c r="I4425" t="n">
        <v>0</v>
      </c>
      <c r="J4425" t="n">
        <v>0</v>
      </c>
      <c r="K4425" t="n">
        <v>0</v>
      </c>
      <c r="L4425" t="n">
        <v>0</v>
      </c>
      <c r="M4425" t="n">
        <v>0</v>
      </c>
      <c r="N4425" t="n">
        <v>0</v>
      </c>
      <c r="O4425" t="n">
        <v>0</v>
      </c>
      <c r="P4425" t="n">
        <v>0</v>
      </c>
      <c r="Q4425" t="n">
        <v>0</v>
      </c>
      <c r="R4425" s="2" t="inlineStr"/>
    </row>
    <row r="4426" ht="15" customHeight="1">
      <c r="A4426" t="inlineStr">
        <is>
          <t>A 27712-2022</t>
        </is>
      </c>
      <c r="B4426" s="1" t="n">
        <v>44743</v>
      </c>
      <c r="C4426" s="1" t="n">
        <v>45210</v>
      </c>
      <c r="D4426" t="inlineStr">
        <is>
          <t>DALARNAS LÄN</t>
        </is>
      </c>
      <c r="E4426" t="inlineStr">
        <is>
          <t>VANSBRO</t>
        </is>
      </c>
      <c r="F4426" t="inlineStr">
        <is>
          <t>Bergvik skog öst AB</t>
        </is>
      </c>
      <c r="G4426" t="n">
        <v>9.5</v>
      </c>
      <c r="H4426" t="n">
        <v>0</v>
      </c>
      <c r="I4426" t="n">
        <v>0</v>
      </c>
      <c r="J4426" t="n">
        <v>0</v>
      </c>
      <c r="K4426" t="n">
        <v>0</v>
      </c>
      <c r="L4426" t="n">
        <v>0</v>
      </c>
      <c r="M4426" t="n">
        <v>0</v>
      </c>
      <c r="N4426" t="n">
        <v>0</v>
      </c>
      <c r="O4426" t="n">
        <v>0</v>
      </c>
      <c r="P4426" t="n">
        <v>0</v>
      </c>
      <c r="Q4426" t="n">
        <v>0</v>
      </c>
      <c r="R4426" s="2" t="inlineStr"/>
    </row>
    <row r="4427" ht="15" customHeight="1">
      <c r="A4427" t="inlineStr">
        <is>
          <t>A 27846-2022</t>
        </is>
      </c>
      <c r="B4427" s="1" t="n">
        <v>44743</v>
      </c>
      <c r="C4427" s="1" t="n">
        <v>45210</v>
      </c>
      <c r="D4427" t="inlineStr">
        <is>
          <t>DALARNAS LÄN</t>
        </is>
      </c>
      <c r="E4427" t="inlineStr">
        <is>
          <t>MALUNG-SÄLEN</t>
        </is>
      </c>
      <c r="F4427" t="inlineStr">
        <is>
          <t>Kommuner</t>
        </is>
      </c>
      <c r="G4427" t="n">
        <v>0.3</v>
      </c>
      <c r="H4427" t="n">
        <v>0</v>
      </c>
      <c r="I4427" t="n">
        <v>0</v>
      </c>
      <c r="J4427" t="n">
        <v>0</v>
      </c>
      <c r="K4427" t="n">
        <v>0</v>
      </c>
      <c r="L4427" t="n">
        <v>0</v>
      </c>
      <c r="M4427" t="n">
        <v>0</v>
      </c>
      <c r="N4427" t="n">
        <v>0</v>
      </c>
      <c r="O4427" t="n">
        <v>0</v>
      </c>
      <c r="P4427" t="n">
        <v>0</v>
      </c>
      <c r="Q4427" t="n">
        <v>0</v>
      </c>
      <c r="R4427" s="2" t="inlineStr"/>
    </row>
    <row r="4428" ht="15" customHeight="1">
      <c r="A4428" t="inlineStr">
        <is>
          <t>A 28014-2022</t>
        </is>
      </c>
      <c r="B4428" s="1" t="n">
        <v>44746</v>
      </c>
      <c r="C4428" s="1" t="n">
        <v>45210</v>
      </c>
      <c r="D4428" t="inlineStr">
        <is>
          <t>DALARNAS LÄN</t>
        </is>
      </c>
      <c r="E4428" t="inlineStr">
        <is>
          <t>RÄTTVIK</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28108-2022</t>
        </is>
      </c>
      <c r="B4429" s="1" t="n">
        <v>44746</v>
      </c>
      <c r="C4429" s="1" t="n">
        <v>45210</v>
      </c>
      <c r="D4429" t="inlineStr">
        <is>
          <t>DALARNAS LÄN</t>
        </is>
      </c>
      <c r="E4429" t="inlineStr">
        <is>
          <t>AVESTA</t>
        </is>
      </c>
      <c r="G4429" t="n">
        <v>0.9</v>
      </c>
      <c r="H4429" t="n">
        <v>0</v>
      </c>
      <c r="I4429" t="n">
        <v>0</v>
      </c>
      <c r="J4429" t="n">
        <v>0</v>
      </c>
      <c r="K4429" t="n">
        <v>0</v>
      </c>
      <c r="L4429" t="n">
        <v>0</v>
      </c>
      <c r="M4429" t="n">
        <v>0</v>
      </c>
      <c r="N4429" t="n">
        <v>0</v>
      </c>
      <c r="O4429" t="n">
        <v>0</v>
      </c>
      <c r="P4429" t="n">
        <v>0</v>
      </c>
      <c r="Q4429" t="n">
        <v>0</v>
      </c>
      <c r="R4429" s="2" t="inlineStr"/>
    </row>
    <row r="4430" ht="15" customHeight="1">
      <c r="A4430" t="inlineStr">
        <is>
          <t>A 28105-2022</t>
        </is>
      </c>
      <c r="B4430" s="1" t="n">
        <v>44746</v>
      </c>
      <c r="C4430" s="1" t="n">
        <v>45210</v>
      </c>
      <c r="D4430" t="inlineStr">
        <is>
          <t>DALARNAS LÄN</t>
        </is>
      </c>
      <c r="E4430" t="inlineStr">
        <is>
          <t>HEDEMORA</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28359-2022</t>
        </is>
      </c>
      <c r="B4431" s="1" t="n">
        <v>44747</v>
      </c>
      <c r="C4431" s="1" t="n">
        <v>45210</v>
      </c>
      <c r="D4431" t="inlineStr">
        <is>
          <t>DALARNAS LÄN</t>
        </is>
      </c>
      <c r="E4431" t="inlineStr">
        <is>
          <t>RÄTTVIK</t>
        </is>
      </c>
      <c r="F4431" t="inlineStr">
        <is>
          <t>Bergvik skog väst AB</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28366-2022</t>
        </is>
      </c>
      <c r="B4432" s="1" t="n">
        <v>44747</v>
      </c>
      <c r="C4432" s="1" t="n">
        <v>45210</v>
      </c>
      <c r="D4432" t="inlineStr">
        <is>
          <t>DALARNAS LÄN</t>
        </is>
      </c>
      <c r="E4432" t="inlineStr">
        <is>
          <t>RÄTTVIK</t>
        </is>
      </c>
      <c r="F4432" t="inlineStr">
        <is>
          <t>Bergvik skog väst AB</t>
        </is>
      </c>
      <c r="G4432" t="n">
        <v>3.7</v>
      </c>
      <c r="H4432" t="n">
        <v>0</v>
      </c>
      <c r="I4432" t="n">
        <v>0</v>
      </c>
      <c r="J4432" t="n">
        <v>0</v>
      </c>
      <c r="K4432" t="n">
        <v>0</v>
      </c>
      <c r="L4432" t="n">
        <v>0</v>
      </c>
      <c r="M4432" t="n">
        <v>0</v>
      </c>
      <c r="N4432" t="n">
        <v>0</v>
      </c>
      <c r="O4432" t="n">
        <v>0</v>
      </c>
      <c r="P4432" t="n">
        <v>0</v>
      </c>
      <c r="Q4432" t="n">
        <v>0</v>
      </c>
      <c r="R4432" s="2" t="inlineStr"/>
    </row>
    <row r="4433" ht="15" customHeight="1">
      <c r="A4433" t="inlineStr">
        <is>
          <t>A 28403-2022</t>
        </is>
      </c>
      <c r="B4433" s="1" t="n">
        <v>44747</v>
      </c>
      <c r="C4433" s="1" t="n">
        <v>45210</v>
      </c>
      <c r="D4433" t="inlineStr">
        <is>
          <t>DALARNAS LÄN</t>
        </is>
      </c>
      <c r="E4433" t="inlineStr">
        <is>
          <t>AVESTA</t>
        </is>
      </c>
      <c r="G4433" t="n">
        <v>15.7</v>
      </c>
      <c r="H4433" t="n">
        <v>0</v>
      </c>
      <c r="I4433" t="n">
        <v>0</v>
      </c>
      <c r="J4433" t="n">
        <v>0</v>
      </c>
      <c r="K4433" t="n">
        <v>0</v>
      </c>
      <c r="L4433" t="n">
        <v>0</v>
      </c>
      <c r="M4433" t="n">
        <v>0</v>
      </c>
      <c r="N4433" t="n">
        <v>0</v>
      </c>
      <c r="O4433" t="n">
        <v>0</v>
      </c>
      <c r="P4433" t="n">
        <v>0</v>
      </c>
      <c r="Q4433" t="n">
        <v>0</v>
      </c>
      <c r="R4433" s="2" t="inlineStr"/>
    </row>
    <row r="4434" ht="15" customHeight="1">
      <c r="A4434" t="inlineStr">
        <is>
          <t>A 29010-2022</t>
        </is>
      </c>
      <c r="B4434" s="1" t="n">
        <v>44747</v>
      </c>
      <c r="C4434" s="1" t="n">
        <v>45210</v>
      </c>
      <c r="D4434" t="inlineStr">
        <is>
          <t>DALARNAS LÄN</t>
        </is>
      </c>
      <c r="E4434" t="inlineStr">
        <is>
          <t>RÄTTVIK</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28344-2022</t>
        </is>
      </c>
      <c r="B4435" s="1" t="n">
        <v>44747</v>
      </c>
      <c r="C4435" s="1" t="n">
        <v>45210</v>
      </c>
      <c r="D4435" t="inlineStr">
        <is>
          <t>DALARNAS LÄN</t>
        </is>
      </c>
      <c r="E4435" t="inlineStr">
        <is>
          <t>MORA</t>
        </is>
      </c>
      <c r="F4435" t="inlineStr">
        <is>
          <t>Kyrkan</t>
        </is>
      </c>
      <c r="G4435" t="n">
        <v>6.4</v>
      </c>
      <c r="H4435" t="n">
        <v>0</v>
      </c>
      <c r="I4435" t="n">
        <v>0</v>
      </c>
      <c r="J4435" t="n">
        <v>0</v>
      </c>
      <c r="K4435" t="n">
        <v>0</v>
      </c>
      <c r="L4435" t="n">
        <v>0</v>
      </c>
      <c r="M4435" t="n">
        <v>0</v>
      </c>
      <c r="N4435" t="n">
        <v>0</v>
      </c>
      <c r="O4435" t="n">
        <v>0</v>
      </c>
      <c r="P4435" t="n">
        <v>0</v>
      </c>
      <c r="Q4435" t="n">
        <v>0</v>
      </c>
      <c r="R4435" s="2" t="inlineStr"/>
    </row>
    <row r="4436" ht="15" customHeight="1">
      <c r="A4436" t="inlineStr">
        <is>
          <t>A 28364-2022</t>
        </is>
      </c>
      <c r="B4436" s="1" t="n">
        <v>44747</v>
      </c>
      <c r="C4436" s="1" t="n">
        <v>45210</v>
      </c>
      <c r="D4436" t="inlineStr">
        <is>
          <t>DALARNAS LÄN</t>
        </is>
      </c>
      <c r="E4436" t="inlineStr">
        <is>
          <t>RÄTTVIK</t>
        </is>
      </c>
      <c r="F4436" t="inlineStr">
        <is>
          <t>Bergvik skog väst AB</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28429-2022</t>
        </is>
      </c>
      <c r="B4437" s="1" t="n">
        <v>44747</v>
      </c>
      <c r="C4437" s="1" t="n">
        <v>45210</v>
      </c>
      <c r="D4437" t="inlineStr">
        <is>
          <t>DALARNAS LÄN</t>
        </is>
      </c>
      <c r="E4437" t="inlineStr">
        <is>
          <t>RÄTTVIK</t>
        </is>
      </c>
      <c r="G4437" t="n">
        <v>4.8</v>
      </c>
      <c r="H4437" t="n">
        <v>0</v>
      </c>
      <c r="I4437" t="n">
        <v>0</v>
      </c>
      <c r="J4437" t="n">
        <v>0</v>
      </c>
      <c r="K4437" t="n">
        <v>0</v>
      </c>
      <c r="L4437" t="n">
        <v>0</v>
      </c>
      <c r="M4437" t="n">
        <v>0</v>
      </c>
      <c r="N4437" t="n">
        <v>0</v>
      </c>
      <c r="O4437" t="n">
        <v>0</v>
      </c>
      <c r="P4437" t="n">
        <v>0</v>
      </c>
      <c r="Q4437" t="n">
        <v>0</v>
      </c>
      <c r="R4437" s="2" t="inlineStr"/>
    </row>
    <row r="4438" ht="15" customHeight="1">
      <c r="A4438" t="inlineStr">
        <is>
          <t>A 28368-2022</t>
        </is>
      </c>
      <c r="B4438" s="1" t="n">
        <v>44747</v>
      </c>
      <c r="C4438" s="1" t="n">
        <v>45210</v>
      </c>
      <c r="D4438" t="inlineStr">
        <is>
          <t>DALARNAS LÄN</t>
        </is>
      </c>
      <c r="E4438" t="inlineStr">
        <is>
          <t>RÄTTVIK</t>
        </is>
      </c>
      <c r="F4438" t="inlineStr">
        <is>
          <t>Bergvik skog väst AB</t>
        </is>
      </c>
      <c r="G4438" t="n">
        <v>4.3</v>
      </c>
      <c r="H4438" t="n">
        <v>0</v>
      </c>
      <c r="I4438" t="n">
        <v>0</v>
      </c>
      <c r="J4438" t="n">
        <v>0</v>
      </c>
      <c r="K4438" t="n">
        <v>0</v>
      </c>
      <c r="L4438" t="n">
        <v>0</v>
      </c>
      <c r="M4438" t="n">
        <v>0</v>
      </c>
      <c r="N4438" t="n">
        <v>0</v>
      </c>
      <c r="O4438" t="n">
        <v>0</v>
      </c>
      <c r="P4438" t="n">
        <v>0</v>
      </c>
      <c r="Q4438" t="n">
        <v>0</v>
      </c>
      <c r="R4438" s="2" t="inlineStr"/>
    </row>
    <row r="4439" ht="15" customHeight="1">
      <c r="A4439" t="inlineStr">
        <is>
          <t>A 28307-2022</t>
        </is>
      </c>
      <c r="B4439" s="1" t="n">
        <v>44747</v>
      </c>
      <c r="C4439" s="1" t="n">
        <v>45210</v>
      </c>
      <c r="D4439" t="inlineStr">
        <is>
          <t>DALARNAS LÄN</t>
        </is>
      </c>
      <c r="E4439" t="inlineStr">
        <is>
          <t>GAGNEF</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28427-2022</t>
        </is>
      </c>
      <c r="B4440" s="1" t="n">
        <v>44748</v>
      </c>
      <c r="C4440" s="1" t="n">
        <v>45210</v>
      </c>
      <c r="D4440" t="inlineStr">
        <is>
          <t>DALARNAS LÄN</t>
        </is>
      </c>
      <c r="E4440" t="inlineStr">
        <is>
          <t>SÄTER</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28549-2022</t>
        </is>
      </c>
      <c r="B4441" s="1" t="n">
        <v>44748</v>
      </c>
      <c r="C4441" s="1" t="n">
        <v>45210</v>
      </c>
      <c r="D4441" t="inlineStr">
        <is>
          <t>DALARNAS LÄN</t>
        </is>
      </c>
      <c r="E4441" t="inlineStr">
        <is>
          <t>SÄTER</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28567-2022</t>
        </is>
      </c>
      <c r="B4442" s="1" t="n">
        <v>44748</v>
      </c>
      <c r="C4442" s="1" t="n">
        <v>45210</v>
      </c>
      <c r="D4442" t="inlineStr">
        <is>
          <t>DALARNAS LÄN</t>
        </is>
      </c>
      <c r="E4442" t="inlineStr">
        <is>
          <t>RÄTTVIK</t>
        </is>
      </c>
      <c r="G4442" t="n">
        <v>3.6</v>
      </c>
      <c r="H4442" t="n">
        <v>0</v>
      </c>
      <c r="I4442" t="n">
        <v>0</v>
      </c>
      <c r="J4442" t="n">
        <v>0</v>
      </c>
      <c r="K4442" t="n">
        <v>0</v>
      </c>
      <c r="L4442" t="n">
        <v>0</v>
      </c>
      <c r="M4442" t="n">
        <v>0</v>
      </c>
      <c r="N4442" t="n">
        <v>0</v>
      </c>
      <c r="O4442" t="n">
        <v>0</v>
      </c>
      <c r="P4442" t="n">
        <v>0</v>
      </c>
      <c r="Q4442" t="n">
        <v>0</v>
      </c>
      <c r="R4442" s="2" t="inlineStr"/>
    </row>
    <row r="4443" ht="15" customHeight="1">
      <c r="A4443" t="inlineStr">
        <is>
          <t>A 28854-2022</t>
        </is>
      </c>
      <c r="B4443" s="1" t="n">
        <v>44749</v>
      </c>
      <c r="C4443" s="1" t="n">
        <v>45210</v>
      </c>
      <c r="D4443" t="inlineStr">
        <is>
          <t>DALARNAS LÄN</t>
        </is>
      </c>
      <c r="E4443" t="inlineStr">
        <is>
          <t>GAGNEF</t>
        </is>
      </c>
      <c r="G4443" t="n">
        <v>7</v>
      </c>
      <c r="H4443" t="n">
        <v>0</v>
      </c>
      <c r="I4443" t="n">
        <v>0</v>
      </c>
      <c r="J4443" t="n">
        <v>0</v>
      </c>
      <c r="K4443" t="n">
        <v>0</v>
      </c>
      <c r="L4443" t="n">
        <v>0</v>
      </c>
      <c r="M4443" t="n">
        <v>0</v>
      </c>
      <c r="N4443" t="n">
        <v>0</v>
      </c>
      <c r="O4443" t="n">
        <v>0</v>
      </c>
      <c r="P4443" t="n">
        <v>0</v>
      </c>
      <c r="Q4443" t="n">
        <v>0</v>
      </c>
      <c r="R4443" s="2" t="inlineStr"/>
    </row>
    <row r="4444" ht="15" customHeight="1">
      <c r="A4444" t="inlineStr">
        <is>
          <t>A 29087-2022</t>
        </is>
      </c>
      <c r="B4444" s="1" t="n">
        <v>44749</v>
      </c>
      <c r="C4444" s="1" t="n">
        <v>45210</v>
      </c>
      <c r="D4444" t="inlineStr">
        <is>
          <t>DALARNAS LÄN</t>
        </is>
      </c>
      <c r="E4444" t="inlineStr">
        <is>
          <t>RÄTTVIK</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28892-2022</t>
        </is>
      </c>
      <c r="B4445" s="1" t="n">
        <v>44749</v>
      </c>
      <c r="C4445" s="1" t="n">
        <v>45210</v>
      </c>
      <c r="D4445" t="inlineStr">
        <is>
          <t>DALARNAS LÄN</t>
        </is>
      </c>
      <c r="E4445" t="inlineStr">
        <is>
          <t>LEKSAND</t>
        </is>
      </c>
      <c r="F4445" t="inlineStr">
        <is>
          <t>Bergvik skog väst AB</t>
        </is>
      </c>
      <c r="G4445" t="n">
        <v>9.1</v>
      </c>
      <c r="H4445" t="n">
        <v>0</v>
      </c>
      <c r="I4445" t="n">
        <v>0</v>
      </c>
      <c r="J4445" t="n">
        <v>0</v>
      </c>
      <c r="K4445" t="n">
        <v>0</v>
      </c>
      <c r="L4445" t="n">
        <v>0</v>
      </c>
      <c r="M4445" t="n">
        <v>0</v>
      </c>
      <c r="N4445" t="n">
        <v>0</v>
      </c>
      <c r="O4445" t="n">
        <v>0</v>
      </c>
      <c r="P4445" t="n">
        <v>0</v>
      </c>
      <c r="Q4445" t="n">
        <v>0</v>
      </c>
      <c r="R4445" s="2" t="inlineStr"/>
    </row>
    <row r="4446" ht="15" customHeight="1">
      <c r="A4446" t="inlineStr">
        <is>
          <t>A 28921-2022</t>
        </is>
      </c>
      <c r="B4446" s="1" t="n">
        <v>44749</v>
      </c>
      <c r="C4446" s="1" t="n">
        <v>45210</v>
      </c>
      <c r="D4446" t="inlineStr">
        <is>
          <t>DALARNAS LÄN</t>
        </is>
      </c>
      <c r="E4446" t="inlineStr">
        <is>
          <t>MALUNG-SÄLEN</t>
        </is>
      </c>
      <c r="F4446" t="inlineStr">
        <is>
          <t>Bergvik skog öst AB</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29205-2022</t>
        </is>
      </c>
      <c r="B4447" s="1" t="n">
        <v>44750</v>
      </c>
      <c r="C4447" s="1" t="n">
        <v>45210</v>
      </c>
      <c r="D4447" t="inlineStr">
        <is>
          <t>DALARNAS LÄN</t>
        </is>
      </c>
      <c r="E4447" t="inlineStr">
        <is>
          <t>LEKSAND</t>
        </is>
      </c>
      <c r="F4447" t="inlineStr">
        <is>
          <t>Bergvik skog väst AB</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29318-2022</t>
        </is>
      </c>
      <c r="B4448" s="1" t="n">
        <v>44751</v>
      </c>
      <c r="C4448" s="1" t="n">
        <v>45210</v>
      </c>
      <c r="D4448" t="inlineStr">
        <is>
          <t>DALARNAS LÄN</t>
        </is>
      </c>
      <c r="E4448" t="inlineStr">
        <is>
          <t>FALUN</t>
        </is>
      </c>
      <c r="G4448" t="n">
        <v>1.8</v>
      </c>
      <c r="H4448" t="n">
        <v>0</v>
      </c>
      <c r="I4448" t="n">
        <v>0</v>
      </c>
      <c r="J4448" t="n">
        <v>0</v>
      </c>
      <c r="K4448" t="n">
        <v>0</v>
      </c>
      <c r="L4448" t="n">
        <v>0</v>
      </c>
      <c r="M4448" t="n">
        <v>0</v>
      </c>
      <c r="N4448" t="n">
        <v>0</v>
      </c>
      <c r="O4448" t="n">
        <v>0</v>
      </c>
      <c r="P4448" t="n">
        <v>0</v>
      </c>
      <c r="Q4448" t="n">
        <v>0</v>
      </c>
      <c r="R4448" s="2" t="inlineStr"/>
    </row>
    <row r="4449" ht="15" customHeight="1">
      <c r="A4449" t="inlineStr">
        <is>
          <t>A 29497-2022</t>
        </is>
      </c>
      <c r="B4449" s="1" t="n">
        <v>44753</v>
      </c>
      <c r="C4449" s="1" t="n">
        <v>45210</v>
      </c>
      <c r="D4449" t="inlineStr">
        <is>
          <t>DALARNAS LÄN</t>
        </is>
      </c>
      <c r="E4449" t="inlineStr">
        <is>
          <t>VANSBRO</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29485-2022</t>
        </is>
      </c>
      <c r="B4450" s="1" t="n">
        <v>44753</v>
      </c>
      <c r="C4450" s="1" t="n">
        <v>45210</v>
      </c>
      <c r="D4450" t="inlineStr">
        <is>
          <t>DALARNAS LÄN</t>
        </is>
      </c>
      <c r="E4450" t="inlineStr">
        <is>
          <t>ORSA</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29464-2022</t>
        </is>
      </c>
      <c r="B4451" s="1" t="n">
        <v>44753</v>
      </c>
      <c r="C4451" s="1" t="n">
        <v>45210</v>
      </c>
      <c r="D4451" t="inlineStr">
        <is>
          <t>DALARNAS LÄN</t>
        </is>
      </c>
      <c r="E4451" t="inlineStr">
        <is>
          <t>AVESTA</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29713-2022</t>
        </is>
      </c>
      <c r="B4452" s="1" t="n">
        <v>44755</v>
      </c>
      <c r="C4452" s="1" t="n">
        <v>45210</v>
      </c>
      <c r="D4452" t="inlineStr">
        <is>
          <t>DALARNAS LÄN</t>
        </is>
      </c>
      <c r="E4452" t="inlineStr">
        <is>
          <t>ÄLVDALEN</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29804-2022</t>
        </is>
      </c>
      <c r="B4453" s="1" t="n">
        <v>44755</v>
      </c>
      <c r="C4453" s="1" t="n">
        <v>45210</v>
      </c>
      <c r="D4453" t="inlineStr">
        <is>
          <t>DALARNAS LÄN</t>
        </is>
      </c>
      <c r="E4453" t="inlineStr">
        <is>
          <t>ÄLVDALEN</t>
        </is>
      </c>
      <c r="F4453" t="inlineStr">
        <is>
          <t>Allmännings- och besparingsskogar</t>
        </is>
      </c>
      <c r="G4453" t="n">
        <v>11.4</v>
      </c>
      <c r="H4453" t="n">
        <v>0</v>
      </c>
      <c r="I4453" t="n">
        <v>0</v>
      </c>
      <c r="J4453" t="n">
        <v>0</v>
      </c>
      <c r="K4453" t="n">
        <v>0</v>
      </c>
      <c r="L4453" t="n">
        <v>0</v>
      </c>
      <c r="M4453" t="n">
        <v>0</v>
      </c>
      <c r="N4453" t="n">
        <v>0</v>
      </c>
      <c r="O4453" t="n">
        <v>0</v>
      </c>
      <c r="P4453" t="n">
        <v>0</v>
      </c>
      <c r="Q4453" t="n">
        <v>0</v>
      </c>
      <c r="R4453" s="2" t="inlineStr"/>
    </row>
    <row r="4454" ht="15" customHeight="1">
      <c r="A4454" t="inlineStr">
        <is>
          <t>A 29844-2022</t>
        </is>
      </c>
      <c r="B4454" s="1" t="n">
        <v>44755</v>
      </c>
      <c r="C4454" s="1" t="n">
        <v>45210</v>
      </c>
      <c r="D4454" t="inlineStr">
        <is>
          <t>DALARNAS LÄN</t>
        </is>
      </c>
      <c r="E4454" t="inlineStr">
        <is>
          <t>FALUN</t>
        </is>
      </c>
      <c r="G4454" t="n">
        <v>1.9</v>
      </c>
      <c r="H4454" t="n">
        <v>0</v>
      </c>
      <c r="I4454" t="n">
        <v>0</v>
      </c>
      <c r="J4454" t="n">
        <v>0</v>
      </c>
      <c r="K4454" t="n">
        <v>0</v>
      </c>
      <c r="L4454" t="n">
        <v>0</v>
      </c>
      <c r="M4454" t="n">
        <v>0</v>
      </c>
      <c r="N4454" t="n">
        <v>0</v>
      </c>
      <c r="O4454" t="n">
        <v>0</v>
      </c>
      <c r="P4454" t="n">
        <v>0</v>
      </c>
      <c r="Q4454" t="n">
        <v>0</v>
      </c>
      <c r="R4454" s="2" t="inlineStr"/>
    </row>
    <row r="4455" ht="15" customHeight="1">
      <c r="A4455" t="inlineStr">
        <is>
          <t>A 29810-2022</t>
        </is>
      </c>
      <c r="B4455" s="1" t="n">
        <v>44755</v>
      </c>
      <c r="C4455" s="1" t="n">
        <v>45210</v>
      </c>
      <c r="D4455" t="inlineStr">
        <is>
          <t>DALARNAS LÄN</t>
        </is>
      </c>
      <c r="E4455" t="inlineStr">
        <is>
          <t>BORLÄNGE</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29863-2022</t>
        </is>
      </c>
      <c r="B4456" s="1" t="n">
        <v>44755</v>
      </c>
      <c r="C4456" s="1" t="n">
        <v>45210</v>
      </c>
      <c r="D4456" t="inlineStr">
        <is>
          <t>DALARNAS LÄN</t>
        </is>
      </c>
      <c r="E4456" t="inlineStr">
        <is>
          <t>FALUN</t>
        </is>
      </c>
      <c r="G4456" t="n">
        <v>5.4</v>
      </c>
      <c r="H4456" t="n">
        <v>0</v>
      </c>
      <c r="I4456" t="n">
        <v>0</v>
      </c>
      <c r="J4456" t="n">
        <v>0</v>
      </c>
      <c r="K4456" t="n">
        <v>0</v>
      </c>
      <c r="L4456" t="n">
        <v>0</v>
      </c>
      <c r="M4456" t="n">
        <v>0</v>
      </c>
      <c r="N4456" t="n">
        <v>0</v>
      </c>
      <c r="O4456" t="n">
        <v>0</v>
      </c>
      <c r="P4456" t="n">
        <v>0</v>
      </c>
      <c r="Q4456" t="n">
        <v>0</v>
      </c>
      <c r="R4456" s="2" t="inlineStr"/>
    </row>
    <row r="4457" ht="15" customHeight="1">
      <c r="A4457" t="inlineStr">
        <is>
          <t>A 29711-2022</t>
        </is>
      </c>
      <c r="B4457" s="1" t="n">
        <v>44755</v>
      </c>
      <c r="C4457" s="1" t="n">
        <v>45210</v>
      </c>
      <c r="D4457" t="inlineStr">
        <is>
          <t>DALARNAS LÄN</t>
        </is>
      </c>
      <c r="E4457" t="inlineStr">
        <is>
          <t>ÄLVDALEN</t>
        </is>
      </c>
      <c r="G4457" t="n">
        <v>8</v>
      </c>
      <c r="H4457" t="n">
        <v>0</v>
      </c>
      <c r="I4457" t="n">
        <v>0</v>
      </c>
      <c r="J4457" t="n">
        <v>0</v>
      </c>
      <c r="K4457" t="n">
        <v>0</v>
      </c>
      <c r="L4457" t="n">
        <v>0</v>
      </c>
      <c r="M4457" t="n">
        <v>0</v>
      </c>
      <c r="N4457" t="n">
        <v>0</v>
      </c>
      <c r="O4457" t="n">
        <v>0</v>
      </c>
      <c r="P4457" t="n">
        <v>0</v>
      </c>
      <c r="Q4457" t="n">
        <v>0</v>
      </c>
      <c r="R4457" s="2" t="inlineStr"/>
    </row>
    <row r="4458" ht="15" customHeight="1">
      <c r="A4458" t="inlineStr">
        <is>
          <t>A 29716-2022</t>
        </is>
      </c>
      <c r="B4458" s="1" t="n">
        <v>44755</v>
      </c>
      <c r="C4458" s="1" t="n">
        <v>45210</v>
      </c>
      <c r="D4458" t="inlineStr">
        <is>
          <t>DALARNAS LÄN</t>
        </is>
      </c>
      <c r="E4458" t="inlineStr">
        <is>
          <t>ÄLVDALEN</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29808-2022</t>
        </is>
      </c>
      <c r="B4459" s="1" t="n">
        <v>44755</v>
      </c>
      <c r="C4459" s="1" t="n">
        <v>45210</v>
      </c>
      <c r="D4459" t="inlineStr">
        <is>
          <t>DALARNAS LÄN</t>
        </is>
      </c>
      <c r="E4459" t="inlineStr">
        <is>
          <t>BORLÄNGE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29856-2022</t>
        </is>
      </c>
      <c r="B4460" s="1" t="n">
        <v>44755</v>
      </c>
      <c r="C4460" s="1" t="n">
        <v>45210</v>
      </c>
      <c r="D4460" t="inlineStr">
        <is>
          <t>DALARNAS LÄN</t>
        </is>
      </c>
      <c r="E4460" t="inlineStr">
        <is>
          <t>FALUN</t>
        </is>
      </c>
      <c r="G4460" t="n">
        <v>3.6</v>
      </c>
      <c r="H4460" t="n">
        <v>0</v>
      </c>
      <c r="I4460" t="n">
        <v>0</v>
      </c>
      <c r="J4460" t="n">
        <v>0</v>
      </c>
      <c r="K4460" t="n">
        <v>0</v>
      </c>
      <c r="L4460" t="n">
        <v>0</v>
      </c>
      <c r="M4460" t="n">
        <v>0</v>
      </c>
      <c r="N4460" t="n">
        <v>0</v>
      </c>
      <c r="O4460" t="n">
        <v>0</v>
      </c>
      <c r="P4460" t="n">
        <v>0</v>
      </c>
      <c r="Q4460" t="n">
        <v>0</v>
      </c>
      <c r="R4460" s="2" t="inlineStr"/>
    </row>
    <row r="4461" ht="15" customHeight="1">
      <c r="A4461" t="inlineStr">
        <is>
          <t>A 29710-2022</t>
        </is>
      </c>
      <c r="B4461" s="1" t="n">
        <v>44755</v>
      </c>
      <c r="C4461" s="1" t="n">
        <v>45210</v>
      </c>
      <c r="D4461" t="inlineStr">
        <is>
          <t>DALARNAS LÄN</t>
        </is>
      </c>
      <c r="E4461" t="inlineStr">
        <is>
          <t>ÄLVDALEN</t>
        </is>
      </c>
      <c r="F4461" t="inlineStr">
        <is>
          <t>Sveaskog</t>
        </is>
      </c>
      <c r="G4461" t="n">
        <v>9.1</v>
      </c>
      <c r="H4461" t="n">
        <v>0</v>
      </c>
      <c r="I4461" t="n">
        <v>0</v>
      </c>
      <c r="J4461" t="n">
        <v>0</v>
      </c>
      <c r="K4461" t="n">
        <v>0</v>
      </c>
      <c r="L4461" t="n">
        <v>0</v>
      </c>
      <c r="M4461" t="n">
        <v>0</v>
      </c>
      <c r="N4461" t="n">
        <v>0</v>
      </c>
      <c r="O4461" t="n">
        <v>0</v>
      </c>
      <c r="P4461" t="n">
        <v>0</v>
      </c>
      <c r="Q4461" t="n">
        <v>0</v>
      </c>
      <c r="R4461" s="2" t="inlineStr"/>
    </row>
    <row r="4462" ht="15" customHeight="1">
      <c r="A4462" t="inlineStr">
        <is>
          <t>A 29850-2022</t>
        </is>
      </c>
      <c r="B4462" s="1" t="n">
        <v>44755</v>
      </c>
      <c r="C4462" s="1" t="n">
        <v>45210</v>
      </c>
      <c r="D4462" t="inlineStr">
        <is>
          <t>DALARNAS LÄN</t>
        </is>
      </c>
      <c r="E4462" t="inlineStr">
        <is>
          <t>FALUN</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29878-2022</t>
        </is>
      </c>
      <c r="B4463" s="1" t="n">
        <v>44755</v>
      </c>
      <c r="C4463" s="1" t="n">
        <v>45210</v>
      </c>
      <c r="D4463" t="inlineStr">
        <is>
          <t>DALARNAS LÄN</t>
        </is>
      </c>
      <c r="E4463" t="inlineStr">
        <is>
          <t>FALUN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29861-2022</t>
        </is>
      </c>
      <c r="B4464" s="1" t="n">
        <v>44756</v>
      </c>
      <c r="C4464" s="1" t="n">
        <v>45210</v>
      </c>
      <c r="D4464" t="inlineStr">
        <is>
          <t>DALARNAS LÄN</t>
        </is>
      </c>
      <c r="E4464" t="inlineStr">
        <is>
          <t>MALUNG-SÄLEN</t>
        </is>
      </c>
      <c r="F4464" t="inlineStr">
        <is>
          <t>Bergvik skog öst AB</t>
        </is>
      </c>
      <c r="G4464" t="n">
        <v>1.6</v>
      </c>
      <c r="H4464" t="n">
        <v>0</v>
      </c>
      <c r="I4464" t="n">
        <v>0</v>
      </c>
      <c r="J4464" t="n">
        <v>0</v>
      </c>
      <c r="K4464" t="n">
        <v>0</v>
      </c>
      <c r="L4464" t="n">
        <v>0</v>
      </c>
      <c r="M4464" t="n">
        <v>0</v>
      </c>
      <c r="N4464" t="n">
        <v>0</v>
      </c>
      <c r="O4464" t="n">
        <v>0</v>
      </c>
      <c r="P4464" t="n">
        <v>0</v>
      </c>
      <c r="Q4464" t="n">
        <v>0</v>
      </c>
      <c r="R4464" s="2" t="inlineStr"/>
    </row>
    <row r="4465" ht="15" customHeight="1">
      <c r="A4465" t="inlineStr">
        <is>
          <t>A 29974-2022</t>
        </is>
      </c>
      <c r="B4465" s="1" t="n">
        <v>44756</v>
      </c>
      <c r="C4465" s="1" t="n">
        <v>45210</v>
      </c>
      <c r="D4465" t="inlineStr">
        <is>
          <t>DALARNAS LÄN</t>
        </is>
      </c>
      <c r="E4465" t="inlineStr">
        <is>
          <t>ÄLVDALEN</t>
        </is>
      </c>
      <c r="F4465" t="inlineStr">
        <is>
          <t>Allmännings- och besparingsskogar</t>
        </is>
      </c>
      <c r="G4465" t="n">
        <v>30</v>
      </c>
      <c r="H4465" t="n">
        <v>0</v>
      </c>
      <c r="I4465" t="n">
        <v>0</v>
      </c>
      <c r="J4465" t="n">
        <v>0</v>
      </c>
      <c r="K4465" t="n">
        <v>0</v>
      </c>
      <c r="L4465" t="n">
        <v>0</v>
      </c>
      <c r="M4465" t="n">
        <v>0</v>
      </c>
      <c r="N4465" t="n">
        <v>0</v>
      </c>
      <c r="O4465" t="n">
        <v>0</v>
      </c>
      <c r="P4465" t="n">
        <v>0</v>
      </c>
      <c r="Q4465" t="n">
        <v>0</v>
      </c>
      <c r="R4465" s="2" t="inlineStr"/>
    </row>
    <row r="4466" ht="15" customHeight="1">
      <c r="A4466" t="inlineStr">
        <is>
          <t>A 29998-2022</t>
        </is>
      </c>
      <c r="B4466" s="1" t="n">
        <v>44756</v>
      </c>
      <c r="C4466" s="1" t="n">
        <v>45210</v>
      </c>
      <c r="D4466" t="inlineStr">
        <is>
          <t>DALARNAS LÄN</t>
        </is>
      </c>
      <c r="E4466" t="inlineStr">
        <is>
          <t>MALUNG-SÄLEN</t>
        </is>
      </c>
      <c r="G4466" t="n">
        <v>1.8</v>
      </c>
      <c r="H4466" t="n">
        <v>0</v>
      </c>
      <c r="I4466" t="n">
        <v>0</v>
      </c>
      <c r="J4466" t="n">
        <v>0</v>
      </c>
      <c r="K4466" t="n">
        <v>0</v>
      </c>
      <c r="L4466" t="n">
        <v>0</v>
      </c>
      <c r="M4466" t="n">
        <v>0</v>
      </c>
      <c r="N4466" t="n">
        <v>0</v>
      </c>
      <c r="O4466" t="n">
        <v>0</v>
      </c>
      <c r="P4466" t="n">
        <v>0</v>
      </c>
      <c r="Q4466" t="n">
        <v>0</v>
      </c>
      <c r="R4466" s="2" t="inlineStr"/>
    </row>
    <row r="4467" ht="15" customHeight="1">
      <c r="A4467" t="inlineStr">
        <is>
          <t>A 30446-2022</t>
        </is>
      </c>
      <c r="B4467" s="1" t="n">
        <v>44761</v>
      </c>
      <c r="C4467" s="1" t="n">
        <v>45210</v>
      </c>
      <c r="D4467" t="inlineStr">
        <is>
          <t>DALARNAS LÄN</t>
        </is>
      </c>
      <c r="E4467" t="inlineStr">
        <is>
          <t>AVESTA</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30592-2022</t>
        </is>
      </c>
      <c r="B4468" s="1" t="n">
        <v>44762</v>
      </c>
      <c r="C4468" s="1" t="n">
        <v>45210</v>
      </c>
      <c r="D4468" t="inlineStr">
        <is>
          <t>DALARNAS LÄN</t>
        </is>
      </c>
      <c r="E4468" t="inlineStr">
        <is>
          <t>HEDEMORA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30574-2022</t>
        </is>
      </c>
      <c r="B4469" s="1" t="n">
        <v>44762</v>
      </c>
      <c r="C4469" s="1" t="n">
        <v>45210</v>
      </c>
      <c r="D4469" t="inlineStr">
        <is>
          <t>DALARNAS LÄN</t>
        </is>
      </c>
      <c r="E4469" t="inlineStr">
        <is>
          <t>RÄTTVIK</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30583-2022</t>
        </is>
      </c>
      <c r="B4470" s="1" t="n">
        <v>44762</v>
      </c>
      <c r="C4470" s="1" t="n">
        <v>45210</v>
      </c>
      <c r="D4470" t="inlineStr">
        <is>
          <t>DALARNAS LÄN</t>
        </is>
      </c>
      <c r="E4470" t="inlineStr">
        <is>
          <t>RÄTTVIK</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30690-2022</t>
        </is>
      </c>
      <c r="B4471" s="1" t="n">
        <v>44763</v>
      </c>
      <c r="C4471" s="1" t="n">
        <v>45210</v>
      </c>
      <c r="D4471" t="inlineStr">
        <is>
          <t>DALARNAS LÄN</t>
        </is>
      </c>
      <c r="E4471" t="inlineStr">
        <is>
          <t>ORSA</t>
        </is>
      </c>
      <c r="F4471" t="inlineStr">
        <is>
          <t>Bergvik skog öst AB</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30998-2022</t>
        </is>
      </c>
      <c r="B4472" s="1" t="n">
        <v>44768</v>
      </c>
      <c r="C4472" s="1" t="n">
        <v>45210</v>
      </c>
      <c r="D4472" t="inlineStr">
        <is>
          <t>DALARNAS LÄN</t>
        </is>
      </c>
      <c r="E4472" t="inlineStr">
        <is>
          <t>MORA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31326-2022</t>
        </is>
      </c>
      <c r="B4473" s="1" t="n">
        <v>44774</v>
      </c>
      <c r="C4473" s="1" t="n">
        <v>45210</v>
      </c>
      <c r="D4473" t="inlineStr">
        <is>
          <t>DALARNAS LÄN</t>
        </is>
      </c>
      <c r="E4473" t="inlineStr">
        <is>
          <t>SMEDJEBACKEN</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31383-2022</t>
        </is>
      </c>
      <c r="B4474" s="1" t="n">
        <v>44774</v>
      </c>
      <c r="C4474" s="1" t="n">
        <v>45210</v>
      </c>
      <c r="D4474" t="inlineStr">
        <is>
          <t>DALARNAS LÄN</t>
        </is>
      </c>
      <c r="E4474" t="inlineStr">
        <is>
          <t>VANSBRO</t>
        </is>
      </c>
      <c r="G4474" t="n">
        <v>1.4</v>
      </c>
      <c r="H4474" t="n">
        <v>0</v>
      </c>
      <c r="I4474" t="n">
        <v>0</v>
      </c>
      <c r="J4474" t="n">
        <v>0</v>
      </c>
      <c r="K4474" t="n">
        <v>0</v>
      </c>
      <c r="L4474" t="n">
        <v>0</v>
      </c>
      <c r="M4474" t="n">
        <v>0</v>
      </c>
      <c r="N4474" t="n">
        <v>0</v>
      </c>
      <c r="O4474" t="n">
        <v>0</v>
      </c>
      <c r="P4474" t="n">
        <v>0</v>
      </c>
      <c r="Q4474" t="n">
        <v>0</v>
      </c>
      <c r="R4474" s="2" t="inlineStr"/>
    </row>
    <row r="4475" ht="15" customHeight="1">
      <c r="A4475" t="inlineStr">
        <is>
          <t>A 31407-2022</t>
        </is>
      </c>
      <c r="B4475" s="1" t="n">
        <v>44774</v>
      </c>
      <c r="C4475" s="1" t="n">
        <v>45210</v>
      </c>
      <c r="D4475" t="inlineStr">
        <is>
          <t>DALARNAS LÄN</t>
        </is>
      </c>
      <c r="E4475" t="inlineStr">
        <is>
          <t>RÄTTVIK</t>
        </is>
      </c>
      <c r="F4475" t="inlineStr">
        <is>
          <t>Sveaskog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31555-2022</t>
        </is>
      </c>
      <c r="B4476" s="1" t="n">
        <v>44775</v>
      </c>
      <c r="C4476" s="1" t="n">
        <v>45210</v>
      </c>
      <c r="D4476" t="inlineStr">
        <is>
          <t>DALARNAS LÄN</t>
        </is>
      </c>
      <c r="E4476" t="inlineStr">
        <is>
          <t>RÄTTVIK</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31618-2022</t>
        </is>
      </c>
      <c r="B4477" s="1" t="n">
        <v>44775</v>
      </c>
      <c r="C4477" s="1" t="n">
        <v>45210</v>
      </c>
      <c r="D4477" t="inlineStr">
        <is>
          <t>DALARNAS LÄN</t>
        </is>
      </c>
      <c r="E4477" t="inlineStr">
        <is>
          <t>FALUN</t>
        </is>
      </c>
      <c r="F4477" t="inlineStr">
        <is>
          <t>Bergvik skog väst AB</t>
        </is>
      </c>
      <c r="G4477" t="n">
        <v>19.3</v>
      </c>
      <c r="H4477" t="n">
        <v>0</v>
      </c>
      <c r="I4477" t="n">
        <v>0</v>
      </c>
      <c r="J4477" t="n">
        <v>0</v>
      </c>
      <c r="K4477" t="n">
        <v>0</v>
      </c>
      <c r="L4477" t="n">
        <v>0</v>
      </c>
      <c r="M4477" t="n">
        <v>0</v>
      </c>
      <c r="N4477" t="n">
        <v>0</v>
      </c>
      <c r="O4477" t="n">
        <v>0</v>
      </c>
      <c r="P4477" t="n">
        <v>0</v>
      </c>
      <c r="Q4477" t="n">
        <v>0</v>
      </c>
      <c r="R4477" s="2" t="inlineStr"/>
    </row>
    <row r="4478" ht="15" customHeight="1">
      <c r="A4478" t="inlineStr">
        <is>
          <t>A 31582-2022</t>
        </is>
      </c>
      <c r="B4478" s="1" t="n">
        <v>44775</v>
      </c>
      <c r="C4478" s="1" t="n">
        <v>45210</v>
      </c>
      <c r="D4478" t="inlineStr">
        <is>
          <t>DALARNAS LÄN</t>
        </is>
      </c>
      <c r="E4478" t="inlineStr">
        <is>
          <t>MORA</t>
        </is>
      </c>
      <c r="G4478" t="n">
        <v>3.5</v>
      </c>
      <c r="H4478" t="n">
        <v>0</v>
      </c>
      <c r="I4478" t="n">
        <v>0</v>
      </c>
      <c r="J4478" t="n">
        <v>0</v>
      </c>
      <c r="K4478" t="n">
        <v>0</v>
      </c>
      <c r="L4478" t="n">
        <v>0</v>
      </c>
      <c r="M4478" t="n">
        <v>0</v>
      </c>
      <c r="N4478" t="n">
        <v>0</v>
      </c>
      <c r="O4478" t="n">
        <v>0</v>
      </c>
      <c r="P4478" t="n">
        <v>0</v>
      </c>
      <c r="Q4478" t="n">
        <v>0</v>
      </c>
      <c r="R4478" s="2" t="inlineStr"/>
    </row>
    <row r="4479" ht="15" customHeight="1">
      <c r="A4479" t="inlineStr">
        <is>
          <t>A 31552-2022</t>
        </is>
      </c>
      <c r="B4479" s="1" t="n">
        <v>44775</v>
      </c>
      <c r="C4479" s="1" t="n">
        <v>45210</v>
      </c>
      <c r="D4479" t="inlineStr">
        <is>
          <t>DALARNAS LÄN</t>
        </is>
      </c>
      <c r="E4479" t="inlineStr">
        <is>
          <t>RÄTTVIK</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31623-2022</t>
        </is>
      </c>
      <c r="B4480" s="1" t="n">
        <v>44775</v>
      </c>
      <c r="C4480" s="1" t="n">
        <v>45210</v>
      </c>
      <c r="D4480" t="inlineStr">
        <is>
          <t>DALARNAS LÄN</t>
        </is>
      </c>
      <c r="E4480" t="inlineStr">
        <is>
          <t>FALUN</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31791-2022</t>
        </is>
      </c>
      <c r="B4481" s="1" t="n">
        <v>44776</v>
      </c>
      <c r="C4481" s="1" t="n">
        <v>45210</v>
      </c>
      <c r="D4481" t="inlineStr">
        <is>
          <t>DALARNAS LÄN</t>
        </is>
      </c>
      <c r="E4481" t="inlineStr">
        <is>
          <t>SMEDJEBACKEN</t>
        </is>
      </c>
      <c r="F4481" t="inlineStr">
        <is>
          <t>Bergvik skog väst AB</t>
        </is>
      </c>
      <c r="G4481" t="n">
        <v>9.199999999999999</v>
      </c>
      <c r="H4481" t="n">
        <v>0</v>
      </c>
      <c r="I4481" t="n">
        <v>0</v>
      </c>
      <c r="J4481" t="n">
        <v>0</v>
      </c>
      <c r="K4481" t="n">
        <v>0</v>
      </c>
      <c r="L4481" t="n">
        <v>0</v>
      </c>
      <c r="M4481" t="n">
        <v>0</v>
      </c>
      <c r="N4481" t="n">
        <v>0</v>
      </c>
      <c r="O4481" t="n">
        <v>0</v>
      </c>
      <c r="P4481" t="n">
        <v>0</v>
      </c>
      <c r="Q4481" t="n">
        <v>0</v>
      </c>
      <c r="R4481" s="2" t="inlineStr"/>
    </row>
    <row r="4482" ht="15" customHeight="1">
      <c r="A4482" t="inlineStr">
        <is>
          <t>A 31799-2022</t>
        </is>
      </c>
      <c r="B4482" s="1" t="n">
        <v>44776</v>
      </c>
      <c r="C4482" s="1" t="n">
        <v>45210</v>
      </c>
      <c r="D4482" t="inlineStr">
        <is>
          <t>DALARNAS LÄN</t>
        </is>
      </c>
      <c r="E4482" t="inlineStr">
        <is>
          <t>SMEDJEBACKEN</t>
        </is>
      </c>
      <c r="F4482" t="inlineStr">
        <is>
          <t>Bergvik skog väst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31809-2022</t>
        </is>
      </c>
      <c r="B4483" s="1" t="n">
        <v>44776</v>
      </c>
      <c r="C4483" s="1" t="n">
        <v>45210</v>
      </c>
      <c r="D4483" t="inlineStr">
        <is>
          <t>DALARNAS LÄN</t>
        </is>
      </c>
      <c r="E4483" t="inlineStr">
        <is>
          <t>SMEDJEBACKEN</t>
        </is>
      </c>
      <c r="F4483" t="inlineStr">
        <is>
          <t>Bergvik skog väst AB</t>
        </is>
      </c>
      <c r="G4483" t="n">
        <v>5.5</v>
      </c>
      <c r="H4483" t="n">
        <v>0</v>
      </c>
      <c r="I4483" t="n">
        <v>0</v>
      </c>
      <c r="J4483" t="n">
        <v>0</v>
      </c>
      <c r="K4483" t="n">
        <v>0</v>
      </c>
      <c r="L4483" t="n">
        <v>0</v>
      </c>
      <c r="M4483" t="n">
        <v>0</v>
      </c>
      <c r="N4483" t="n">
        <v>0</v>
      </c>
      <c r="O4483" t="n">
        <v>0</v>
      </c>
      <c r="P4483" t="n">
        <v>0</v>
      </c>
      <c r="Q4483" t="n">
        <v>0</v>
      </c>
      <c r="R4483" s="2" t="inlineStr"/>
    </row>
    <row r="4484" ht="15" customHeight="1">
      <c r="A4484" t="inlineStr">
        <is>
          <t>A 31792-2022</t>
        </is>
      </c>
      <c r="B4484" s="1" t="n">
        <v>44776</v>
      </c>
      <c r="C4484" s="1" t="n">
        <v>45210</v>
      </c>
      <c r="D4484" t="inlineStr">
        <is>
          <t>DALARNAS LÄN</t>
        </is>
      </c>
      <c r="E4484" t="inlineStr">
        <is>
          <t>SMEDJEBACKEN</t>
        </is>
      </c>
      <c r="F4484" t="inlineStr">
        <is>
          <t>Bergvik skog väst AB</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31781-2022</t>
        </is>
      </c>
      <c r="B4485" s="1" t="n">
        <v>44776</v>
      </c>
      <c r="C4485" s="1" t="n">
        <v>45210</v>
      </c>
      <c r="D4485" t="inlineStr">
        <is>
          <t>DALARNAS LÄN</t>
        </is>
      </c>
      <c r="E4485" t="inlineStr">
        <is>
          <t>SMEDJEBACKEN</t>
        </is>
      </c>
      <c r="F4485" t="inlineStr">
        <is>
          <t>Bergvik skog väst AB</t>
        </is>
      </c>
      <c r="G4485" t="n">
        <v>7.6</v>
      </c>
      <c r="H4485" t="n">
        <v>0</v>
      </c>
      <c r="I4485" t="n">
        <v>0</v>
      </c>
      <c r="J4485" t="n">
        <v>0</v>
      </c>
      <c r="K4485" t="n">
        <v>0</v>
      </c>
      <c r="L4485" t="n">
        <v>0</v>
      </c>
      <c r="M4485" t="n">
        <v>0</v>
      </c>
      <c r="N4485" t="n">
        <v>0</v>
      </c>
      <c r="O4485" t="n">
        <v>0</v>
      </c>
      <c r="P4485" t="n">
        <v>0</v>
      </c>
      <c r="Q4485" t="n">
        <v>0</v>
      </c>
      <c r="R4485" s="2" t="inlineStr"/>
    </row>
    <row r="4486" ht="15" customHeight="1">
      <c r="A4486" t="inlineStr">
        <is>
          <t>A 31788-2022</t>
        </is>
      </c>
      <c r="B4486" s="1" t="n">
        <v>44776</v>
      </c>
      <c r="C4486" s="1" t="n">
        <v>45210</v>
      </c>
      <c r="D4486" t="inlineStr">
        <is>
          <t>DALARNAS LÄN</t>
        </is>
      </c>
      <c r="E4486" t="inlineStr">
        <is>
          <t>SMEDJEBACKEN</t>
        </is>
      </c>
      <c r="F4486" t="inlineStr">
        <is>
          <t>Bergvik skog väst AB</t>
        </is>
      </c>
      <c r="G4486" t="n">
        <v>3.9</v>
      </c>
      <c r="H4486" t="n">
        <v>0</v>
      </c>
      <c r="I4486" t="n">
        <v>0</v>
      </c>
      <c r="J4486" t="n">
        <v>0</v>
      </c>
      <c r="K4486" t="n">
        <v>0</v>
      </c>
      <c r="L4486" t="n">
        <v>0</v>
      </c>
      <c r="M4486" t="n">
        <v>0</v>
      </c>
      <c r="N4486" t="n">
        <v>0</v>
      </c>
      <c r="O4486" t="n">
        <v>0</v>
      </c>
      <c r="P4486" t="n">
        <v>0</v>
      </c>
      <c r="Q4486" t="n">
        <v>0</v>
      </c>
      <c r="R4486" s="2" t="inlineStr"/>
    </row>
    <row r="4487" ht="15" customHeight="1">
      <c r="A4487" t="inlineStr">
        <is>
          <t>A 31795-2022</t>
        </is>
      </c>
      <c r="B4487" s="1" t="n">
        <v>44776</v>
      </c>
      <c r="C4487" s="1" t="n">
        <v>45210</v>
      </c>
      <c r="D4487" t="inlineStr">
        <is>
          <t>DALARNAS LÄN</t>
        </is>
      </c>
      <c r="E4487" t="inlineStr">
        <is>
          <t>SMEDJEBACKEN</t>
        </is>
      </c>
      <c r="F4487" t="inlineStr">
        <is>
          <t>Bergvik skog väst AB</t>
        </is>
      </c>
      <c r="G4487" t="n">
        <v>7.5</v>
      </c>
      <c r="H4487" t="n">
        <v>0</v>
      </c>
      <c r="I4487" t="n">
        <v>0</v>
      </c>
      <c r="J4487" t="n">
        <v>0</v>
      </c>
      <c r="K4487" t="n">
        <v>0</v>
      </c>
      <c r="L4487" t="n">
        <v>0</v>
      </c>
      <c r="M4487" t="n">
        <v>0</v>
      </c>
      <c r="N4487" t="n">
        <v>0</v>
      </c>
      <c r="O4487" t="n">
        <v>0</v>
      </c>
      <c r="P4487" t="n">
        <v>0</v>
      </c>
      <c r="Q4487" t="n">
        <v>0</v>
      </c>
      <c r="R4487" s="2" t="inlineStr"/>
    </row>
    <row r="4488" ht="15" customHeight="1">
      <c r="A4488" t="inlineStr">
        <is>
          <t>A 31876-2022</t>
        </is>
      </c>
      <c r="B4488" s="1" t="n">
        <v>44777</v>
      </c>
      <c r="C4488" s="1" t="n">
        <v>45210</v>
      </c>
      <c r="D4488" t="inlineStr">
        <is>
          <t>DALARNAS LÄN</t>
        </is>
      </c>
      <c r="E4488" t="inlineStr">
        <is>
          <t>ORSA</t>
        </is>
      </c>
      <c r="F4488" t="inlineStr">
        <is>
          <t>Bergvik skog öst AB</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32013-2022</t>
        </is>
      </c>
      <c r="B4489" s="1" t="n">
        <v>44778</v>
      </c>
      <c r="C4489" s="1" t="n">
        <v>45210</v>
      </c>
      <c r="D4489" t="inlineStr">
        <is>
          <t>DALARNAS LÄN</t>
        </is>
      </c>
      <c r="E4489" t="inlineStr">
        <is>
          <t>SMEDJEBACKEN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32017-2022</t>
        </is>
      </c>
      <c r="B4490" s="1" t="n">
        <v>44778</v>
      </c>
      <c r="C4490" s="1" t="n">
        <v>45210</v>
      </c>
      <c r="D4490" t="inlineStr">
        <is>
          <t>DALARNAS LÄN</t>
        </is>
      </c>
      <c r="E4490" t="inlineStr">
        <is>
          <t>VANSBRO</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32061-2022</t>
        </is>
      </c>
      <c r="B4491" s="1" t="n">
        <v>44778</v>
      </c>
      <c r="C4491" s="1" t="n">
        <v>45210</v>
      </c>
      <c r="D4491" t="inlineStr">
        <is>
          <t>DALARNAS LÄN</t>
        </is>
      </c>
      <c r="E4491" t="inlineStr">
        <is>
          <t>SÄTER</t>
        </is>
      </c>
      <c r="F4491" t="inlineStr">
        <is>
          <t>Bergvik skog väst AB</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32016-2022</t>
        </is>
      </c>
      <c r="B4492" s="1" t="n">
        <v>44778</v>
      </c>
      <c r="C4492" s="1" t="n">
        <v>45210</v>
      </c>
      <c r="D4492" t="inlineStr">
        <is>
          <t>DALARNAS LÄN</t>
        </is>
      </c>
      <c r="E4492" t="inlineStr">
        <is>
          <t>SMEDJEBACKEN</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32028-2022</t>
        </is>
      </c>
      <c r="B4493" s="1" t="n">
        <v>44778</v>
      </c>
      <c r="C4493" s="1" t="n">
        <v>45210</v>
      </c>
      <c r="D4493" t="inlineStr">
        <is>
          <t>DALARNAS LÄN</t>
        </is>
      </c>
      <c r="E4493" t="inlineStr">
        <is>
          <t>GAGNEF</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32154-2022</t>
        </is>
      </c>
      <c r="B4494" s="1" t="n">
        <v>44781</v>
      </c>
      <c r="C4494" s="1" t="n">
        <v>45210</v>
      </c>
      <c r="D4494" t="inlineStr">
        <is>
          <t>DALARNAS LÄN</t>
        </is>
      </c>
      <c r="E4494" t="inlineStr">
        <is>
          <t>BORLÄNGE</t>
        </is>
      </c>
      <c r="G4494" t="n">
        <v>5.6</v>
      </c>
      <c r="H4494" t="n">
        <v>0</v>
      </c>
      <c r="I4494" t="n">
        <v>0</v>
      </c>
      <c r="J4494" t="n">
        <v>0</v>
      </c>
      <c r="K4494" t="n">
        <v>0</v>
      </c>
      <c r="L4494" t="n">
        <v>0</v>
      </c>
      <c r="M4494" t="n">
        <v>0</v>
      </c>
      <c r="N4494" t="n">
        <v>0</v>
      </c>
      <c r="O4494" t="n">
        <v>0</v>
      </c>
      <c r="P4494" t="n">
        <v>0</v>
      </c>
      <c r="Q4494" t="n">
        <v>0</v>
      </c>
      <c r="R4494" s="2" t="inlineStr"/>
    </row>
    <row r="4495" ht="15" customHeight="1">
      <c r="A4495" t="inlineStr">
        <is>
          <t>A 32381-2022</t>
        </is>
      </c>
      <c r="B4495" s="1" t="n">
        <v>44781</v>
      </c>
      <c r="C4495" s="1" t="n">
        <v>45210</v>
      </c>
      <c r="D4495" t="inlineStr">
        <is>
          <t>DALARNAS LÄN</t>
        </is>
      </c>
      <c r="E4495" t="inlineStr">
        <is>
          <t>SMEDJEBACKEN</t>
        </is>
      </c>
      <c r="F4495" t="inlineStr">
        <is>
          <t>Bergvik skog väst AB</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32170-2022</t>
        </is>
      </c>
      <c r="B4496" s="1" t="n">
        <v>44781</v>
      </c>
      <c r="C4496" s="1" t="n">
        <v>45210</v>
      </c>
      <c r="D4496" t="inlineStr">
        <is>
          <t>DALARNAS LÄN</t>
        </is>
      </c>
      <c r="E4496" t="inlineStr">
        <is>
          <t>BORLÄNGE</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32383-2022</t>
        </is>
      </c>
      <c r="B4497" s="1" t="n">
        <v>44781</v>
      </c>
      <c r="C4497" s="1" t="n">
        <v>45210</v>
      </c>
      <c r="D4497" t="inlineStr">
        <is>
          <t>DALARNAS LÄN</t>
        </is>
      </c>
      <c r="E4497" t="inlineStr">
        <is>
          <t>SÄTER</t>
        </is>
      </c>
      <c r="F4497" t="inlineStr">
        <is>
          <t>Bergvik skog väst AB</t>
        </is>
      </c>
      <c r="G4497" t="n">
        <v>4.1</v>
      </c>
      <c r="H4497" t="n">
        <v>0</v>
      </c>
      <c r="I4497" t="n">
        <v>0</v>
      </c>
      <c r="J4497" t="n">
        <v>0</v>
      </c>
      <c r="K4497" t="n">
        <v>0</v>
      </c>
      <c r="L4497" t="n">
        <v>0</v>
      </c>
      <c r="M4497" t="n">
        <v>0</v>
      </c>
      <c r="N4497" t="n">
        <v>0</v>
      </c>
      <c r="O4497" t="n">
        <v>0</v>
      </c>
      <c r="P4497" t="n">
        <v>0</v>
      </c>
      <c r="Q4497" t="n">
        <v>0</v>
      </c>
      <c r="R4497" s="2" t="inlineStr"/>
    </row>
    <row r="4498" ht="15" customHeight="1">
      <c r="A4498" t="inlineStr">
        <is>
          <t>A 32380-2022</t>
        </is>
      </c>
      <c r="B4498" s="1" t="n">
        <v>44782</v>
      </c>
      <c r="C4498" s="1" t="n">
        <v>45210</v>
      </c>
      <c r="D4498" t="inlineStr">
        <is>
          <t>DALARNAS LÄN</t>
        </is>
      </c>
      <c r="E4498" t="inlineStr">
        <is>
          <t>ÄLVDALEN</t>
        </is>
      </c>
      <c r="F4498" t="inlineStr">
        <is>
          <t>Övriga statliga verk och myndigheter</t>
        </is>
      </c>
      <c r="G4498" t="n">
        <v>7.9</v>
      </c>
      <c r="H4498" t="n">
        <v>0</v>
      </c>
      <c r="I4498" t="n">
        <v>0</v>
      </c>
      <c r="J4498" t="n">
        <v>0</v>
      </c>
      <c r="K4498" t="n">
        <v>0</v>
      </c>
      <c r="L4498" t="n">
        <v>0</v>
      </c>
      <c r="M4498" t="n">
        <v>0</v>
      </c>
      <c r="N4498" t="n">
        <v>0</v>
      </c>
      <c r="O4498" t="n">
        <v>0</v>
      </c>
      <c r="P4498" t="n">
        <v>0</v>
      </c>
      <c r="Q4498" t="n">
        <v>0</v>
      </c>
      <c r="R4498" s="2" t="inlineStr"/>
    </row>
    <row r="4499" ht="15" customHeight="1">
      <c r="A4499" t="inlineStr">
        <is>
          <t>A 32474-2022</t>
        </is>
      </c>
      <c r="B4499" s="1" t="n">
        <v>44782</v>
      </c>
      <c r="C4499" s="1" t="n">
        <v>45210</v>
      </c>
      <c r="D4499" t="inlineStr">
        <is>
          <t>DALARNAS LÄN</t>
        </is>
      </c>
      <c r="E4499" t="inlineStr">
        <is>
          <t>MORA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32384-2022</t>
        </is>
      </c>
      <c r="B4500" s="1" t="n">
        <v>44782</v>
      </c>
      <c r="C4500" s="1" t="n">
        <v>45210</v>
      </c>
      <c r="D4500" t="inlineStr">
        <is>
          <t>DALARNAS LÄN</t>
        </is>
      </c>
      <c r="E4500" t="inlineStr">
        <is>
          <t>SMEDJEBACKEN</t>
        </is>
      </c>
      <c r="G4500" t="n">
        <v>2.9</v>
      </c>
      <c r="H4500" t="n">
        <v>0</v>
      </c>
      <c r="I4500" t="n">
        <v>0</v>
      </c>
      <c r="J4500" t="n">
        <v>0</v>
      </c>
      <c r="K4500" t="n">
        <v>0</v>
      </c>
      <c r="L4500" t="n">
        <v>0</v>
      </c>
      <c r="M4500" t="n">
        <v>0</v>
      </c>
      <c r="N4500" t="n">
        <v>0</v>
      </c>
      <c r="O4500" t="n">
        <v>0</v>
      </c>
      <c r="P4500" t="n">
        <v>0</v>
      </c>
      <c r="Q4500" t="n">
        <v>0</v>
      </c>
      <c r="R4500" s="2" t="inlineStr"/>
    </row>
    <row r="4501" ht="15" customHeight="1">
      <c r="A4501" t="inlineStr">
        <is>
          <t>A 32468-2022</t>
        </is>
      </c>
      <c r="B4501" s="1" t="n">
        <v>44782</v>
      </c>
      <c r="C4501" s="1" t="n">
        <v>45210</v>
      </c>
      <c r="D4501" t="inlineStr">
        <is>
          <t>DALARNAS LÄN</t>
        </is>
      </c>
      <c r="E4501" t="inlineStr">
        <is>
          <t>ÄLVDALEN</t>
        </is>
      </c>
      <c r="F4501" t="inlineStr">
        <is>
          <t>Bergvik skog väst AB</t>
        </is>
      </c>
      <c r="G4501" t="n">
        <v>1.8</v>
      </c>
      <c r="H4501" t="n">
        <v>0</v>
      </c>
      <c r="I4501" t="n">
        <v>0</v>
      </c>
      <c r="J4501" t="n">
        <v>0</v>
      </c>
      <c r="K4501" t="n">
        <v>0</v>
      </c>
      <c r="L4501" t="n">
        <v>0</v>
      </c>
      <c r="M4501" t="n">
        <v>0</v>
      </c>
      <c r="N4501" t="n">
        <v>0</v>
      </c>
      <c r="O4501" t="n">
        <v>0</v>
      </c>
      <c r="P4501" t="n">
        <v>0</v>
      </c>
      <c r="Q4501" t="n">
        <v>0</v>
      </c>
      <c r="R4501" s="2" t="inlineStr"/>
    </row>
    <row r="4502" ht="15" customHeight="1">
      <c r="A4502" t="inlineStr">
        <is>
          <t>A 32486-2022</t>
        </is>
      </c>
      <c r="B4502" s="1" t="n">
        <v>44782</v>
      </c>
      <c r="C4502" s="1" t="n">
        <v>45210</v>
      </c>
      <c r="D4502" t="inlineStr">
        <is>
          <t>DALARNAS LÄN</t>
        </is>
      </c>
      <c r="E4502" t="inlineStr">
        <is>
          <t>MALUNG-SÄLEN</t>
        </is>
      </c>
      <c r="F4502" t="inlineStr">
        <is>
          <t>Bergvik skog öst AB</t>
        </is>
      </c>
      <c r="G4502" t="n">
        <v>3.8</v>
      </c>
      <c r="H4502" t="n">
        <v>0</v>
      </c>
      <c r="I4502" t="n">
        <v>0</v>
      </c>
      <c r="J4502" t="n">
        <v>0</v>
      </c>
      <c r="K4502" t="n">
        <v>0</v>
      </c>
      <c r="L4502" t="n">
        <v>0</v>
      </c>
      <c r="M4502" t="n">
        <v>0</v>
      </c>
      <c r="N4502" t="n">
        <v>0</v>
      </c>
      <c r="O4502" t="n">
        <v>0</v>
      </c>
      <c r="P4502" t="n">
        <v>0</v>
      </c>
      <c r="Q4502" t="n">
        <v>0</v>
      </c>
      <c r="R4502" s="2" t="inlineStr"/>
    </row>
    <row r="4503" ht="15" customHeight="1">
      <c r="A4503" t="inlineStr">
        <is>
          <t>A 32385-2022</t>
        </is>
      </c>
      <c r="B4503" s="1" t="n">
        <v>44782</v>
      </c>
      <c r="C4503" s="1" t="n">
        <v>45210</v>
      </c>
      <c r="D4503" t="inlineStr">
        <is>
          <t>DALARNAS LÄN</t>
        </is>
      </c>
      <c r="E4503" t="inlineStr">
        <is>
          <t>ÄLVDALEN</t>
        </is>
      </c>
      <c r="F4503" t="inlineStr">
        <is>
          <t>Övriga statliga verk och myndigheter</t>
        </is>
      </c>
      <c r="G4503" t="n">
        <v>9</v>
      </c>
      <c r="H4503" t="n">
        <v>0</v>
      </c>
      <c r="I4503" t="n">
        <v>0</v>
      </c>
      <c r="J4503" t="n">
        <v>0</v>
      </c>
      <c r="K4503" t="n">
        <v>0</v>
      </c>
      <c r="L4503" t="n">
        <v>0</v>
      </c>
      <c r="M4503" t="n">
        <v>0</v>
      </c>
      <c r="N4503" t="n">
        <v>0</v>
      </c>
      <c r="O4503" t="n">
        <v>0</v>
      </c>
      <c r="P4503" t="n">
        <v>0</v>
      </c>
      <c r="Q4503" t="n">
        <v>0</v>
      </c>
      <c r="R4503" s="2" t="inlineStr"/>
    </row>
    <row r="4504" ht="15" customHeight="1">
      <c r="A4504" t="inlineStr">
        <is>
          <t>A 32467-2022</t>
        </is>
      </c>
      <c r="B4504" s="1" t="n">
        <v>44782</v>
      </c>
      <c r="C4504" s="1" t="n">
        <v>45210</v>
      </c>
      <c r="D4504" t="inlineStr">
        <is>
          <t>DALARNAS LÄN</t>
        </is>
      </c>
      <c r="E4504" t="inlineStr">
        <is>
          <t>ÄLVDALEN</t>
        </is>
      </c>
      <c r="F4504" t="inlineStr">
        <is>
          <t>Bergvik skog väst AB</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32718-2022</t>
        </is>
      </c>
      <c r="B4505" s="1" t="n">
        <v>44783</v>
      </c>
      <c r="C4505" s="1" t="n">
        <v>45210</v>
      </c>
      <c r="D4505" t="inlineStr">
        <is>
          <t>DALARNAS LÄN</t>
        </is>
      </c>
      <c r="E4505" t="inlineStr">
        <is>
          <t>RÄTTVIK</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32633-2022</t>
        </is>
      </c>
      <c r="B4506" s="1" t="n">
        <v>44783</v>
      </c>
      <c r="C4506" s="1" t="n">
        <v>45210</v>
      </c>
      <c r="D4506" t="inlineStr">
        <is>
          <t>DALARNAS LÄN</t>
        </is>
      </c>
      <c r="E4506" t="inlineStr">
        <is>
          <t>SÄTER</t>
        </is>
      </c>
      <c r="G4506" t="n">
        <v>16.2</v>
      </c>
      <c r="H4506" t="n">
        <v>0</v>
      </c>
      <c r="I4506" t="n">
        <v>0</v>
      </c>
      <c r="J4506" t="n">
        <v>0</v>
      </c>
      <c r="K4506" t="n">
        <v>0</v>
      </c>
      <c r="L4506" t="n">
        <v>0</v>
      </c>
      <c r="M4506" t="n">
        <v>0</v>
      </c>
      <c r="N4506" t="n">
        <v>0</v>
      </c>
      <c r="O4506" t="n">
        <v>0</v>
      </c>
      <c r="P4506" t="n">
        <v>0</v>
      </c>
      <c r="Q4506" t="n">
        <v>0</v>
      </c>
      <c r="R4506" s="2" t="inlineStr"/>
    </row>
    <row r="4507" ht="15" customHeight="1">
      <c r="A4507" t="inlineStr">
        <is>
          <t>A 32636-2022</t>
        </is>
      </c>
      <c r="B4507" s="1" t="n">
        <v>44783</v>
      </c>
      <c r="C4507" s="1" t="n">
        <v>45210</v>
      </c>
      <c r="D4507" t="inlineStr">
        <is>
          <t>DALARNAS LÄN</t>
        </is>
      </c>
      <c r="E4507" t="inlineStr">
        <is>
          <t>SÄTER</t>
        </is>
      </c>
      <c r="G4507" t="n">
        <v>2.7</v>
      </c>
      <c r="H4507" t="n">
        <v>0</v>
      </c>
      <c r="I4507" t="n">
        <v>0</v>
      </c>
      <c r="J4507" t="n">
        <v>0</v>
      </c>
      <c r="K4507" t="n">
        <v>0</v>
      </c>
      <c r="L4507" t="n">
        <v>0</v>
      </c>
      <c r="M4507" t="n">
        <v>0</v>
      </c>
      <c r="N4507" t="n">
        <v>0</v>
      </c>
      <c r="O4507" t="n">
        <v>0</v>
      </c>
      <c r="P4507" t="n">
        <v>0</v>
      </c>
      <c r="Q4507" t="n">
        <v>0</v>
      </c>
      <c r="R4507" s="2" t="inlineStr"/>
    </row>
    <row r="4508" ht="15" customHeight="1">
      <c r="A4508" t="inlineStr">
        <is>
          <t>A 32791-2022</t>
        </is>
      </c>
      <c r="B4508" s="1" t="n">
        <v>44784</v>
      </c>
      <c r="C4508" s="1" t="n">
        <v>45210</v>
      </c>
      <c r="D4508" t="inlineStr">
        <is>
          <t>DALARNAS LÄN</t>
        </is>
      </c>
      <c r="E4508" t="inlineStr">
        <is>
          <t>LEKSAND</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32894-2022</t>
        </is>
      </c>
      <c r="B4509" s="1" t="n">
        <v>44784</v>
      </c>
      <c r="C4509" s="1" t="n">
        <v>45210</v>
      </c>
      <c r="D4509" t="inlineStr">
        <is>
          <t>DALARNAS LÄN</t>
        </is>
      </c>
      <c r="E4509" t="inlineStr">
        <is>
          <t>ÄLVDALEN</t>
        </is>
      </c>
      <c r="F4509" t="inlineStr">
        <is>
          <t>Bergvik skog väst AB</t>
        </is>
      </c>
      <c r="G4509" t="n">
        <v>3</v>
      </c>
      <c r="H4509" t="n">
        <v>0</v>
      </c>
      <c r="I4509" t="n">
        <v>0</v>
      </c>
      <c r="J4509" t="n">
        <v>0</v>
      </c>
      <c r="K4509" t="n">
        <v>0</v>
      </c>
      <c r="L4509" t="n">
        <v>0</v>
      </c>
      <c r="M4509" t="n">
        <v>0</v>
      </c>
      <c r="N4509" t="n">
        <v>0</v>
      </c>
      <c r="O4509" t="n">
        <v>0</v>
      </c>
      <c r="P4509" t="n">
        <v>0</v>
      </c>
      <c r="Q4509" t="n">
        <v>0</v>
      </c>
      <c r="R4509" s="2" t="inlineStr"/>
    </row>
    <row r="4510" ht="15" customHeight="1">
      <c r="A4510" t="inlineStr">
        <is>
          <t>A 32904-2022</t>
        </is>
      </c>
      <c r="B4510" s="1" t="n">
        <v>44784</v>
      </c>
      <c r="C4510" s="1" t="n">
        <v>45210</v>
      </c>
      <c r="D4510" t="inlineStr">
        <is>
          <t>DALARNAS LÄN</t>
        </is>
      </c>
      <c r="E4510" t="inlineStr">
        <is>
          <t>SÄTER</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33108-2022</t>
        </is>
      </c>
      <c r="B4511" s="1" t="n">
        <v>44785</v>
      </c>
      <c r="C4511" s="1" t="n">
        <v>45210</v>
      </c>
      <c r="D4511" t="inlineStr">
        <is>
          <t>DALARNAS LÄN</t>
        </is>
      </c>
      <c r="E4511" t="inlineStr">
        <is>
          <t>LUDVIKA</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33162-2022</t>
        </is>
      </c>
      <c r="B4512" s="1" t="n">
        <v>44785</v>
      </c>
      <c r="C4512" s="1" t="n">
        <v>45210</v>
      </c>
      <c r="D4512" t="inlineStr">
        <is>
          <t>DALARNAS LÄN</t>
        </is>
      </c>
      <c r="E4512" t="inlineStr">
        <is>
          <t>LUDVIKA</t>
        </is>
      </c>
      <c r="F4512" t="inlineStr">
        <is>
          <t>Bergvik skog väst AB</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33161-2022</t>
        </is>
      </c>
      <c r="B4513" s="1" t="n">
        <v>44785</v>
      </c>
      <c r="C4513" s="1" t="n">
        <v>45210</v>
      </c>
      <c r="D4513" t="inlineStr">
        <is>
          <t>DALARNAS LÄN</t>
        </is>
      </c>
      <c r="E4513" t="inlineStr">
        <is>
          <t>VANSBRO</t>
        </is>
      </c>
      <c r="F4513" t="inlineStr">
        <is>
          <t>Bergvik skog väst AB</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33253-2022</t>
        </is>
      </c>
      <c r="B4514" s="1" t="n">
        <v>44787</v>
      </c>
      <c r="C4514" s="1" t="n">
        <v>45210</v>
      </c>
      <c r="D4514" t="inlineStr">
        <is>
          <t>DALARNAS LÄN</t>
        </is>
      </c>
      <c r="E4514" t="inlineStr">
        <is>
          <t>SMEDJEBACKEN</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33257-2022</t>
        </is>
      </c>
      <c r="B4515" s="1" t="n">
        <v>44787</v>
      </c>
      <c r="C4515" s="1" t="n">
        <v>45210</v>
      </c>
      <c r="D4515" t="inlineStr">
        <is>
          <t>DALARNAS LÄN</t>
        </is>
      </c>
      <c r="E4515" t="inlineStr">
        <is>
          <t>SMEDJEBACKEN</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33256-2022</t>
        </is>
      </c>
      <c r="B4516" s="1" t="n">
        <v>44787</v>
      </c>
      <c r="C4516" s="1" t="n">
        <v>45210</v>
      </c>
      <c r="D4516" t="inlineStr">
        <is>
          <t>DALARNAS LÄN</t>
        </is>
      </c>
      <c r="E4516" t="inlineStr">
        <is>
          <t>SMEDJEBACKEN</t>
        </is>
      </c>
      <c r="G4516" t="n">
        <v>6.6</v>
      </c>
      <c r="H4516" t="n">
        <v>0</v>
      </c>
      <c r="I4516" t="n">
        <v>0</v>
      </c>
      <c r="J4516" t="n">
        <v>0</v>
      </c>
      <c r="K4516" t="n">
        <v>0</v>
      </c>
      <c r="L4516" t="n">
        <v>0</v>
      </c>
      <c r="M4516" t="n">
        <v>0</v>
      </c>
      <c r="N4516" t="n">
        <v>0</v>
      </c>
      <c r="O4516" t="n">
        <v>0</v>
      </c>
      <c r="P4516" t="n">
        <v>0</v>
      </c>
      <c r="Q4516" t="n">
        <v>0</v>
      </c>
      <c r="R4516" s="2" t="inlineStr"/>
    </row>
    <row r="4517" ht="15" customHeight="1">
      <c r="A4517" t="inlineStr">
        <is>
          <t>A 33255-2022</t>
        </is>
      </c>
      <c r="B4517" s="1" t="n">
        <v>44787</v>
      </c>
      <c r="C4517" s="1" t="n">
        <v>45210</v>
      </c>
      <c r="D4517" t="inlineStr">
        <is>
          <t>DALARNAS LÄN</t>
        </is>
      </c>
      <c r="E4517" t="inlineStr">
        <is>
          <t>SMEDJEBACKEN</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33425-2022</t>
        </is>
      </c>
      <c r="B4518" s="1" t="n">
        <v>44788</v>
      </c>
      <c r="C4518" s="1" t="n">
        <v>45210</v>
      </c>
      <c r="D4518" t="inlineStr">
        <is>
          <t>DALARNAS LÄN</t>
        </is>
      </c>
      <c r="E4518" t="inlineStr">
        <is>
          <t>ÄLVDALEN</t>
        </is>
      </c>
      <c r="F4518" t="inlineStr">
        <is>
          <t>Bergvik skog öst AB</t>
        </is>
      </c>
      <c r="G4518" t="n">
        <v>21.2</v>
      </c>
      <c r="H4518" t="n">
        <v>0</v>
      </c>
      <c r="I4518" t="n">
        <v>0</v>
      </c>
      <c r="J4518" t="n">
        <v>0</v>
      </c>
      <c r="K4518" t="n">
        <v>0</v>
      </c>
      <c r="L4518" t="n">
        <v>0</v>
      </c>
      <c r="M4518" t="n">
        <v>0</v>
      </c>
      <c r="N4518" t="n">
        <v>0</v>
      </c>
      <c r="O4518" t="n">
        <v>0</v>
      </c>
      <c r="P4518" t="n">
        <v>0</v>
      </c>
      <c r="Q4518" t="n">
        <v>0</v>
      </c>
      <c r="R4518" s="2" t="inlineStr"/>
    </row>
    <row r="4519" ht="15" customHeight="1">
      <c r="A4519" t="inlineStr">
        <is>
          <t>A 33473-2022</t>
        </is>
      </c>
      <c r="B4519" s="1" t="n">
        <v>44788</v>
      </c>
      <c r="C4519" s="1" t="n">
        <v>45210</v>
      </c>
      <c r="D4519" t="inlineStr">
        <is>
          <t>DALARNAS LÄN</t>
        </is>
      </c>
      <c r="E4519" t="inlineStr">
        <is>
          <t>SÄTER</t>
        </is>
      </c>
      <c r="G4519" t="n">
        <v>1.8</v>
      </c>
      <c r="H4519" t="n">
        <v>0</v>
      </c>
      <c r="I4519" t="n">
        <v>0</v>
      </c>
      <c r="J4519" t="n">
        <v>0</v>
      </c>
      <c r="K4519" t="n">
        <v>0</v>
      </c>
      <c r="L4519" t="n">
        <v>0</v>
      </c>
      <c r="M4519" t="n">
        <v>0</v>
      </c>
      <c r="N4519" t="n">
        <v>0</v>
      </c>
      <c r="O4519" t="n">
        <v>0</v>
      </c>
      <c r="P4519" t="n">
        <v>0</v>
      </c>
      <c r="Q4519" t="n">
        <v>0</v>
      </c>
      <c r="R4519" s="2" t="inlineStr"/>
    </row>
    <row r="4520" ht="15" customHeight="1">
      <c r="A4520" t="inlineStr">
        <is>
          <t>A 33384-2022</t>
        </is>
      </c>
      <c r="B4520" s="1" t="n">
        <v>44788</v>
      </c>
      <c r="C4520" s="1" t="n">
        <v>45210</v>
      </c>
      <c r="D4520" t="inlineStr">
        <is>
          <t>DALARNAS LÄN</t>
        </is>
      </c>
      <c r="E4520" t="inlineStr">
        <is>
          <t>ORSA</t>
        </is>
      </c>
      <c r="F4520" t="inlineStr">
        <is>
          <t>Bergvik skog öst AB</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33412-2022</t>
        </is>
      </c>
      <c r="B4521" s="1" t="n">
        <v>44788</v>
      </c>
      <c r="C4521" s="1" t="n">
        <v>45210</v>
      </c>
      <c r="D4521" t="inlineStr">
        <is>
          <t>DALARNAS LÄN</t>
        </is>
      </c>
      <c r="E4521" t="inlineStr">
        <is>
          <t>BORLÄNGE</t>
        </is>
      </c>
      <c r="G4521" t="n">
        <v>2.8</v>
      </c>
      <c r="H4521" t="n">
        <v>0</v>
      </c>
      <c r="I4521" t="n">
        <v>0</v>
      </c>
      <c r="J4521" t="n">
        <v>0</v>
      </c>
      <c r="K4521" t="n">
        <v>0</v>
      </c>
      <c r="L4521" t="n">
        <v>0</v>
      </c>
      <c r="M4521" t="n">
        <v>0</v>
      </c>
      <c r="N4521" t="n">
        <v>0</v>
      </c>
      <c r="O4521" t="n">
        <v>0</v>
      </c>
      <c r="P4521" t="n">
        <v>0</v>
      </c>
      <c r="Q4521" t="n">
        <v>0</v>
      </c>
      <c r="R4521" s="2" t="inlineStr"/>
    </row>
    <row r="4522" ht="15" customHeight="1">
      <c r="A4522" t="inlineStr">
        <is>
          <t>A 33618-2022</t>
        </is>
      </c>
      <c r="B4522" s="1" t="n">
        <v>44789</v>
      </c>
      <c r="C4522" s="1" t="n">
        <v>45210</v>
      </c>
      <c r="D4522" t="inlineStr">
        <is>
          <t>DALARNAS LÄN</t>
        </is>
      </c>
      <c r="E4522" t="inlineStr">
        <is>
          <t>MALUNG-SÄLEN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33655-2022</t>
        </is>
      </c>
      <c r="B4523" s="1" t="n">
        <v>44789</v>
      </c>
      <c r="C4523" s="1" t="n">
        <v>45210</v>
      </c>
      <c r="D4523" t="inlineStr">
        <is>
          <t>DALARNAS LÄN</t>
        </is>
      </c>
      <c r="E4523" t="inlineStr">
        <is>
          <t>AVESTA</t>
        </is>
      </c>
      <c r="G4523" t="n">
        <v>4.7</v>
      </c>
      <c r="H4523" t="n">
        <v>0</v>
      </c>
      <c r="I4523" t="n">
        <v>0</v>
      </c>
      <c r="J4523" t="n">
        <v>0</v>
      </c>
      <c r="K4523" t="n">
        <v>0</v>
      </c>
      <c r="L4523" t="n">
        <v>0</v>
      </c>
      <c r="M4523" t="n">
        <v>0</v>
      </c>
      <c r="N4523" t="n">
        <v>0</v>
      </c>
      <c r="O4523" t="n">
        <v>0</v>
      </c>
      <c r="P4523" t="n">
        <v>0</v>
      </c>
      <c r="Q4523" t="n">
        <v>0</v>
      </c>
      <c r="R4523" s="2" t="inlineStr"/>
    </row>
    <row r="4524" ht="15" customHeight="1">
      <c r="A4524" t="inlineStr">
        <is>
          <t>A 33550-2022</t>
        </is>
      </c>
      <c r="B4524" s="1" t="n">
        <v>44789</v>
      </c>
      <c r="C4524" s="1" t="n">
        <v>45210</v>
      </c>
      <c r="D4524" t="inlineStr">
        <is>
          <t>DALARNAS LÄN</t>
        </is>
      </c>
      <c r="E4524" t="inlineStr">
        <is>
          <t>MORA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33673-2022</t>
        </is>
      </c>
      <c r="B4525" s="1" t="n">
        <v>44789</v>
      </c>
      <c r="C4525" s="1" t="n">
        <v>45210</v>
      </c>
      <c r="D4525" t="inlineStr">
        <is>
          <t>DALARNAS LÄN</t>
        </is>
      </c>
      <c r="E4525" t="inlineStr">
        <is>
          <t>LUDVIKA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33548-2022</t>
        </is>
      </c>
      <c r="B4526" s="1" t="n">
        <v>44789</v>
      </c>
      <c r="C4526" s="1" t="n">
        <v>45210</v>
      </c>
      <c r="D4526" t="inlineStr">
        <is>
          <t>DALARNAS LÄN</t>
        </is>
      </c>
      <c r="E4526" t="inlineStr">
        <is>
          <t>FALUN</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33777-2022</t>
        </is>
      </c>
      <c r="B4527" s="1" t="n">
        <v>44790</v>
      </c>
      <c r="C4527" s="1" t="n">
        <v>45210</v>
      </c>
      <c r="D4527" t="inlineStr">
        <is>
          <t>DALARNAS LÄN</t>
        </is>
      </c>
      <c r="E4527" t="inlineStr">
        <is>
          <t>AVESTA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33898-2022</t>
        </is>
      </c>
      <c r="B4528" s="1" t="n">
        <v>44790</v>
      </c>
      <c r="C4528" s="1" t="n">
        <v>45210</v>
      </c>
      <c r="D4528" t="inlineStr">
        <is>
          <t>DALARNAS LÄN</t>
        </is>
      </c>
      <c r="E4528" t="inlineStr">
        <is>
          <t>VANSBRO</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33843-2022</t>
        </is>
      </c>
      <c r="B4529" s="1" t="n">
        <v>44790</v>
      </c>
      <c r="C4529" s="1" t="n">
        <v>45210</v>
      </c>
      <c r="D4529" t="inlineStr">
        <is>
          <t>DALARNAS LÄN</t>
        </is>
      </c>
      <c r="E4529" t="inlineStr">
        <is>
          <t>SMEDJEBACKEN</t>
        </is>
      </c>
      <c r="F4529" t="inlineStr">
        <is>
          <t>Bergvik skog väst AB</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33899-2022</t>
        </is>
      </c>
      <c r="B4530" s="1" t="n">
        <v>44790</v>
      </c>
      <c r="C4530" s="1" t="n">
        <v>45210</v>
      </c>
      <c r="D4530" t="inlineStr">
        <is>
          <t>DALARNAS LÄN</t>
        </is>
      </c>
      <c r="E4530" t="inlineStr">
        <is>
          <t>VANSBRO</t>
        </is>
      </c>
      <c r="G4530" t="n">
        <v>5.5</v>
      </c>
      <c r="H4530" t="n">
        <v>0</v>
      </c>
      <c r="I4530" t="n">
        <v>0</v>
      </c>
      <c r="J4530" t="n">
        <v>0</v>
      </c>
      <c r="K4530" t="n">
        <v>0</v>
      </c>
      <c r="L4530" t="n">
        <v>0</v>
      </c>
      <c r="M4530" t="n">
        <v>0</v>
      </c>
      <c r="N4530" t="n">
        <v>0</v>
      </c>
      <c r="O4530" t="n">
        <v>0</v>
      </c>
      <c r="P4530" t="n">
        <v>0</v>
      </c>
      <c r="Q4530" t="n">
        <v>0</v>
      </c>
      <c r="R4530" s="2" t="inlineStr"/>
    </row>
    <row r="4531" ht="15" customHeight="1">
      <c r="A4531" t="inlineStr">
        <is>
          <t>A 34277-2022</t>
        </is>
      </c>
      <c r="B4531" s="1" t="n">
        <v>44791</v>
      </c>
      <c r="C4531" s="1" t="n">
        <v>45210</v>
      </c>
      <c r="D4531" t="inlineStr">
        <is>
          <t>DALARNAS LÄN</t>
        </is>
      </c>
      <c r="E4531" t="inlineStr">
        <is>
          <t>VANSBRO</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34137-2022</t>
        </is>
      </c>
      <c r="B4532" s="1" t="n">
        <v>44791</v>
      </c>
      <c r="C4532" s="1" t="n">
        <v>45210</v>
      </c>
      <c r="D4532" t="inlineStr">
        <is>
          <t>DALARNAS LÄN</t>
        </is>
      </c>
      <c r="E4532" t="inlineStr">
        <is>
          <t>RÄTTVIK</t>
        </is>
      </c>
      <c r="G4532" t="n">
        <v>1.4</v>
      </c>
      <c r="H4532" t="n">
        <v>0</v>
      </c>
      <c r="I4532" t="n">
        <v>0</v>
      </c>
      <c r="J4532" t="n">
        <v>0</v>
      </c>
      <c r="K4532" t="n">
        <v>0</v>
      </c>
      <c r="L4532" t="n">
        <v>0</v>
      </c>
      <c r="M4532" t="n">
        <v>0</v>
      </c>
      <c r="N4532" t="n">
        <v>0</v>
      </c>
      <c r="O4532" t="n">
        <v>0</v>
      </c>
      <c r="P4532" t="n">
        <v>0</v>
      </c>
      <c r="Q4532" t="n">
        <v>0</v>
      </c>
      <c r="R4532" s="2" t="inlineStr"/>
    </row>
    <row r="4533" ht="15" customHeight="1">
      <c r="A4533" t="inlineStr">
        <is>
          <t>A 34136-2022</t>
        </is>
      </c>
      <c r="B4533" s="1" t="n">
        <v>44791</v>
      </c>
      <c r="C4533" s="1" t="n">
        <v>45210</v>
      </c>
      <c r="D4533" t="inlineStr">
        <is>
          <t>DALARNAS LÄN</t>
        </is>
      </c>
      <c r="E4533" t="inlineStr">
        <is>
          <t>RÄTTVIK</t>
        </is>
      </c>
      <c r="G4533" t="n">
        <v>14.8</v>
      </c>
      <c r="H4533" t="n">
        <v>0</v>
      </c>
      <c r="I4533" t="n">
        <v>0</v>
      </c>
      <c r="J4533" t="n">
        <v>0</v>
      </c>
      <c r="K4533" t="n">
        <v>0</v>
      </c>
      <c r="L4533" t="n">
        <v>0</v>
      </c>
      <c r="M4533" t="n">
        <v>0</v>
      </c>
      <c r="N4533" t="n">
        <v>0</v>
      </c>
      <c r="O4533" t="n">
        <v>0</v>
      </c>
      <c r="P4533" t="n">
        <v>0</v>
      </c>
      <c r="Q4533" t="n">
        <v>0</v>
      </c>
      <c r="R4533" s="2" t="inlineStr"/>
    </row>
    <row r="4534" ht="15" customHeight="1">
      <c r="A4534" t="inlineStr">
        <is>
          <t>A 34511-2022</t>
        </is>
      </c>
      <c r="B4534" s="1" t="n">
        <v>44792</v>
      </c>
      <c r="C4534" s="1" t="n">
        <v>45210</v>
      </c>
      <c r="D4534" t="inlineStr">
        <is>
          <t>DALARNAS LÄN</t>
        </is>
      </c>
      <c r="E4534" t="inlineStr">
        <is>
          <t>FALUN</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34508-2022</t>
        </is>
      </c>
      <c r="B4535" s="1" t="n">
        <v>44792</v>
      </c>
      <c r="C4535" s="1" t="n">
        <v>45210</v>
      </c>
      <c r="D4535" t="inlineStr">
        <is>
          <t>DALARNAS LÄN</t>
        </is>
      </c>
      <c r="E4535" t="inlineStr">
        <is>
          <t>FALUN</t>
        </is>
      </c>
      <c r="G4535" t="n">
        <v>3</v>
      </c>
      <c r="H4535" t="n">
        <v>0</v>
      </c>
      <c r="I4535" t="n">
        <v>0</v>
      </c>
      <c r="J4535" t="n">
        <v>0</v>
      </c>
      <c r="K4535" t="n">
        <v>0</v>
      </c>
      <c r="L4535" t="n">
        <v>0</v>
      </c>
      <c r="M4535" t="n">
        <v>0</v>
      </c>
      <c r="N4535" t="n">
        <v>0</v>
      </c>
      <c r="O4535" t="n">
        <v>0</v>
      </c>
      <c r="P4535" t="n">
        <v>0</v>
      </c>
      <c r="Q4535" t="n">
        <v>0</v>
      </c>
      <c r="R4535" s="2" t="inlineStr"/>
    </row>
    <row r="4536" ht="15" customHeight="1">
      <c r="A4536" t="inlineStr">
        <is>
          <t>A 34320-2022</t>
        </is>
      </c>
      <c r="B4536" s="1" t="n">
        <v>44792</v>
      </c>
      <c r="C4536" s="1" t="n">
        <v>45210</v>
      </c>
      <c r="D4536" t="inlineStr">
        <is>
          <t>DALARNAS LÄN</t>
        </is>
      </c>
      <c r="E4536" t="inlineStr">
        <is>
          <t>BORLÄNGE</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34409-2022</t>
        </is>
      </c>
      <c r="B4537" s="1" t="n">
        <v>44792</v>
      </c>
      <c r="C4537" s="1" t="n">
        <v>45210</v>
      </c>
      <c r="D4537" t="inlineStr">
        <is>
          <t>DALARNAS LÄN</t>
        </is>
      </c>
      <c r="E4537" t="inlineStr">
        <is>
          <t>HEDEMORA</t>
        </is>
      </c>
      <c r="G4537" t="n">
        <v>13.7</v>
      </c>
      <c r="H4537" t="n">
        <v>0</v>
      </c>
      <c r="I4537" t="n">
        <v>0</v>
      </c>
      <c r="J4537" t="n">
        <v>0</v>
      </c>
      <c r="K4537" t="n">
        <v>0</v>
      </c>
      <c r="L4537" t="n">
        <v>0</v>
      </c>
      <c r="M4537" t="n">
        <v>0</v>
      </c>
      <c r="N4537" t="n">
        <v>0</v>
      </c>
      <c r="O4537" t="n">
        <v>0</v>
      </c>
      <c r="P4537" t="n">
        <v>0</v>
      </c>
      <c r="Q4537" t="n">
        <v>0</v>
      </c>
      <c r="R4537" s="2" t="inlineStr"/>
    </row>
    <row r="4538" ht="15" customHeight="1">
      <c r="A4538" t="inlineStr">
        <is>
          <t>A 34482-2022</t>
        </is>
      </c>
      <c r="B4538" s="1" t="n">
        <v>44792</v>
      </c>
      <c r="C4538" s="1" t="n">
        <v>45210</v>
      </c>
      <c r="D4538" t="inlineStr">
        <is>
          <t>DALARNAS LÄN</t>
        </is>
      </c>
      <c r="E4538" t="inlineStr">
        <is>
          <t>LEKSAND</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34507-2022</t>
        </is>
      </c>
      <c r="B4539" s="1" t="n">
        <v>44792</v>
      </c>
      <c r="C4539" s="1" t="n">
        <v>45210</v>
      </c>
      <c r="D4539" t="inlineStr">
        <is>
          <t>DALARNAS LÄN</t>
        </is>
      </c>
      <c r="E4539" t="inlineStr">
        <is>
          <t>FALUN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34323-2022</t>
        </is>
      </c>
      <c r="B4540" s="1" t="n">
        <v>44792</v>
      </c>
      <c r="C4540" s="1" t="n">
        <v>45210</v>
      </c>
      <c r="D4540" t="inlineStr">
        <is>
          <t>DALARNAS LÄN</t>
        </is>
      </c>
      <c r="E4540" t="inlineStr">
        <is>
          <t>BORLÄNGE</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34509-2022</t>
        </is>
      </c>
      <c r="B4541" s="1" t="n">
        <v>44792</v>
      </c>
      <c r="C4541" s="1" t="n">
        <v>45210</v>
      </c>
      <c r="D4541" t="inlineStr">
        <is>
          <t>DALARNAS LÄN</t>
        </is>
      </c>
      <c r="E4541" t="inlineStr">
        <is>
          <t>FALUN</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34567-2022</t>
        </is>
      </c>
      <c r="B4542" s="1" t="n">
        <v>44795</v>
      </c>
      <c r="C4542" s="1" t="n">
        <v>45210</v>
      </c>
      <c r="D4542" t="inlineStr">
        <is>
          <t>DALARNAS LÄN</t>
        </is>
      </c>
      <c r="E4542" t="inlineStr">
        <is>
          <t>RÄTTVIK</t>
        </is>
      </c>
      <c r="G4542" t="n">
        <v>4.7</v>
      </c>
      <c r="H4542" t="n">
        <v>0</v>
      </c>
      <c r="I4542" t="n">
        <v>0</v>
      </c>
      <c r="J4542" t="n">
        <v>0</v>
      </c>
      <c r="K4542" t="n">
        <v>0</v>
      </c>
      <c r="L4542" t="n">
        <v>0</v>
      </c>
      <c r="M4542" t="n">
        <v>0</v>
      </c>
      <c r="N4542" t="n">
        <v>0</v>
      </c>
      <c r="O4542" t="n">
        <v>0</v>
      </c>
      <c r="P4542" t="n">
        <v>0</v>
      </c>
      <c r="Q4542" t="n">
        <v>0</v>
      </c>
      <c r="R4542" s="2" t="inlineStr"/>
    </row>
    <row r="4543" ht="15" customHeight="1">
      <c r="A4543" t="inlineStr">
        <is>
          <t>A 34603-2022</t>
        </is>
      </c>
      <c r="B4543" s="1" t="n">
        <v>44795</v>
      </c>
      <c r="C4543" s="1" t="n">
        <v>45210</v>
      </c>
      <c r="D4543" t="inlineStr">
        <is>
          <t>DALARNAS LÄN</t>
        </is>
      </c>
      <c r="E4543" t="inlineStr">
        <is>
          <t>MALUNG-SÄLEN</t>
        </is>
      </c>
      <c r="G4543" t="n">
        <v>5.4</v>
      </c>
      <c r="H4543" t="n">
        <v>0</v>
      </c>
      <c r="I4543" t="n">
        <v>0</v>
      </c>
      <c r="J4543" t="n">
        <v>0</v>
      </c>
      <c r="K4543" t="n">
        <v>0</v>
      </c>
      <c r="L4543" t="n">
        <v>0</v>
      </c>
      <c r="M4543" t="n">
        <v>0</v>
      </c>
      <c r="N4543" t="n">
        <v>0</v>
      </c>
      <c r="O4543" t="n">
        <v>0</v>
      </c>
      <c r="P4543" t="n">
        <v>0</v>
      </c>
      <c r="Q4543" t="n">
        <v>0</v>
      </c>
      <c r="R4543" s="2" t="inlineStr"/>
    </row>
    <row r="4544" ht="15" customHeight="1">
      <c r="A4544" t="inlineStr">
        <is>
          <t>A 34824-2022</t>
        </is>
      </c>
      <c r="B4544" s="1" t="n">
        <v>44796</v>
      </c>
      <c r="C4544" s="1" t="n">
        <v>45210</v>
      </c>
      <c r="D4544" t="inlineStr">
        <is>
          <t>DALARNAS LÄN</t>
        </is>
      </c>
      <c r="E4544" t="inlineStr">
        <is>
          <t>MORA</t>
        </is>
      </c>
      <c r="F4544" t="inlineStr">
        <is>
          <t>Bergvik skog väst AB</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34897-2022</t>
        </is>
      </c>
      <c r="B4545" s="1" t="n">
        <v>44796</v>
      </c>
      <c r="C4545" s="1" t="n">
        <v>45210</v>
      </c>
      <c r="D4545" t="inlineStr">
        <is>
          <t>DALARNAS LÄN</t>
        </is>
      </c>
      <c r="E4545" t="inlineStr">
        <is>
          <t>MORA</t>
        </is>
      </c>
      <c r="F4545" t="inlineStr">
        <is>
          <t>Bergvik skog väst AB</t>
        </is>
      </c>
      <c r="G4545" t="n">
        <v>8</v>
      </c>
      <c r="H4545" t="n">
        <v>0</v>
      </c>
      <c r="I4545" t="n">
        <v>0</v>
      </c>
      <c r="J4545" t="n">
        <v>0</v>
      </c>
      <c r="K4545" t="n">
        <v>0</v>
      </c>
      <c r="L4545" t="n">
        <v>0</v>
      </c>
      <c r="M4545" t="n">
        <v>0</v>
      </c>
      <c r="N4545" t="n">
        <v>0</v>
      </c>
      <c r="O4545" t="n">
        <v>0</v>
      </c>
      <c r="P4545" t="n">
        <v>0</v>
      </c>
      <c r="Q4545" t="n">
        <v>0</v>
      </c>
      <c r="R4545" s="2" t="inlineStr"/>
    </row>
    <row r="4546" ht="15" customHeight="1">
      <c r="A4546" t="inlineStr">
        <is>
          <t>A 34923-2022</t>
        </is>
      </c>
      <c r="B4546" s="1" t="n">
        <v>44796</v>
      </c>
      <c r="C4546" s="1" t="n">
        <v>45210</v>
      </c>
      <c r="D4546" t="inlineStr">
        <is>
          <t>DALARNAS LÄN</t>
        </is>
      </c>
      <c r="E4546" t="inlineStr">
        <is>
          <t>MORA</t>
        </is>
      </c>
      <c r="G4546" t="n">
        <v>5</v>
      </c>
      <c r="H4546" t="n">
        <v>0</v>
      </c>
      <c r="I4546" t="n">
        <v>0</v>
      </c>
      <c r="J4546" t="n">
        <v>0</v>
      </c>
      <c r="K4546" t="n">
        <v>0</v>
      </c>
      <c r="L4546" t="n">
        <v>0</v>
      </c>
      <c r="M4546" t="n">
        <v>0</v>
      </c>
      <c r="N4546" t="n">
        <v>0</v>
      </c>
      <c r="O4546" t="n">
        <v>0</v>
      </c>
      <c r="P4546" t="n">
        <v>0</v>
      </c>
      <c r="Q4546" t="n">
        <v>0</v>
      </c>
      <c r="R4546" s="2" t="inlineStr"/>
    </row>
    <row r="4547" ht="15" customHeight="1">
      <c r="A4547" t="inlineStr">
        <is>
          <t>A 35063-2022</t>
        </is>
      </c>
      <c r="B4547" s="1" t="n">
        <v>44797</v>
      </c>
      <c r="C4547" s="1" t="n">
        <v>45210</v>
      </c>
      <c r="D4547" t="inlineStr">
        <is>
          <t>DALARNAS LÄN</t>
        </is>
      </c>
      <c r="E4547" t="inlineStr">
        <is>
          <t>FALUN</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35080-2022</t>
        </is>
      </c>
      <c r="B4548" s="1" t="n">
        <v>44797</v>
      </c>
      <c r="C4548" s="1" t="n">
        <v>45210</v>
      </c>
      <c r="D4548" t="inlineStr">
        <is>
          <t>DALARNAS LÄN</t>
        </is>
      </c>
      <c r="E4548" t="inlineStr">
        <is>
          <t>LEKSAND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35087-2022</t>
        </is>
      </c>
      <c r="B4549" s="1" t="n">
        <v>44797</v>
      </c>
      <c r="C4549" s="1" t="n">
        <v>45210</v>
      </c>
      <c r="D4549" t="inlineStr">
        <is>
          <t>DALARNAS LÄN</t>
        </is>
      </c>
      <c r="E4549" t="inlineStr">
        <is>
          <t>LEKSAND</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35244-2022</t>
        </is>
      </c>
      <c r="B4550" s="1" t="n">
        <v>44798</v>
      </c>
      <c r="C4550" s="1" t="n">
        <v>45210</v>
      </c>
      <c r="D4550" t="inlineStr">
        <is>
          <t>DALARNAS LÄN</t>
        </is>
      </c>
      <c r="E4550" t="inlineStr">
        <is>
          <t>RÄTTVIK</t>
        </is>
      </c>
      <c r="G4550" t="n">
        <v>4.3</v>
      </c>
      <c r="H4550" t="n">
        <v>0</v>
      </c>
      <c r="I4550" t="n">
        <v>0</v>
      </c>
      <c r="J4550" t="n">
        <v>0</v>
      </c>
      <c r="K4550" t="n">
        <v>0</v>
      </c>
      <c r="L4550" t="n">
        <v>0</v>
      </c>
      <c r="M4550" t="n">
        <v>0</v>
      </c>
      <c r="N4550" t="n">
        <v>0</v>
      </c>
      <c r="O4550" t="n">
        <v>0</v>
      </c>
      <c r="P4550" t="n">
        <v>0</v>
      </c>
      <c r="Q4550" t="n">
        <v>0</v>
      </c>
      <c r="R4550" s="2" t="inlineStr"/>
    </row>
    <row r="4551" ht="15" customHeight="1">
      <c r="A4551" t="inlineStr">
        <is>
          <t>A 35403-2022</t>
        </is>
      </c>
      <c r="B4551" s="1" t="n">
        <v>44798</v>
      </c>
      <c r="C4551" s="1" t="n">
        <v>45210</v>
      </c>
      <c r="D4551" t="inlineStr">
        <is>
          <t>DALARNAS LÄN</t>
        </is>
      </c>
      <c r="E4551" t="inlineStr">
        <is>
          <t>RÄTTVIK</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35365-2022</t>
        </is>
      </c>
      <c r="B4552" s="1" t="n">
        <v>44798</v>
      </c>
      <c r="C4552" s="1" t="n">
        <v>45210</v>
      </c>
      <c r="D4552" t="inlineStr">
        <is>
          <t>DALARNAS LÄN</t>
        </is>
      </c>
      <c r="E4552" t="inlineStr">
        <is>
          <t>VANSBRO</t>
        </is>
      </c>
      <c r="F4552" t="inlineStr">
        <is>
          <t>Kommuner</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35357-2022</t>
        </is>
      </c>
      <c r="B4553" s="1" t="n">
        <v>44798</v>
      </c>
      <c r="C4553" s="1" t="n">
        <v>45210</v>
      </c>
      <c r="D4553" t="inlineStr">
        <is>
          <t>DALARNAS LÄN</t>
        </is>
      </c>
      <c r="E4553" t="inlineStr">
        <is>
          <t>BORLÄNGE</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35382-2022</t>
        </is>
      </c>
      <c r="B4554" s="1" t="n">
        <v>44798</v>
      </c>
      <c r="C4554" s="1" t="n">
        <v>45210</v>
      </c>
      <c r="D4554" t="inlineStr">
        <is>
          <t>DALARNAS LÄN</t>
        </is>
      </c>
      <c r="E4554" t="inlineStr">
        <is>
          <t>FALUN</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35594-2022</t>
        </is>
      </c>
      <c r="B4555" s="1" t="n">
        <v>44799</v>
      </c>
      <c r="C4555" s="1" t="n">
        <v>45210</v>
      </c>
      <c r="D4555" t="inlineStr">
        <is>
          <t>DALARNAS LÄN</t>
        </is>
      </c>
      <c r="E4555" t="inlineStr">
        <is>
          <t>BORLÄNGE</t>
        </is>
      </c>
      <c r="F4555" t="inlineStr">
        <is>
          <t>Bergvik skog väst AB</t>
        </is>
      </c>
      <c r="G4555" t="n">
        <v>1.7</v>
      </c>
      <c r="H4555" t="n">
        <v>0</v>
      </c>
      <c r="I4555" t="n">
        <v>0</v>
      </c>
      <c r="J4555" t="n">
        <v>0</v>
      </c>
      <c r="K4555" t="n">
        <v>0</v>
      </c>
      <c r="L4555" t="n">
        <v>0</v>
      </c>
      <c r="M4555" t="n">
        <v>0</v>
      </c>
      <c r="N4555" t="n">
        <v>0</v>
      </c>
      <c r="O4555" t="n">
        <v>0</v>
      </c>
      <c r="P4555" t="n">
        <v>0</v>
      </c>
      <c r="Q4555" t="n">
        <v>0</v>
      </c>
      <c r="R4555" s="2" t="inlineStr"/>
    </row>
    <row r="4556" ht="15" customHeight="1">
      <c r="A4556" t="inlineStr">
        <is>
          <t>A 35678-2022</t>
        </is>
      </c>
      <c r="B4556" s="1" t="n">
        <v>44799</v>
      </c>
      <c r="C4556" s="1" t="n">
        <v>45210</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35593-2022</t>
        </is>
      </c>
      <c r="B4557" s="1" t="n">
        <v>44799</v>
      </c>
      <c r="C4557" s="1" t="n">
        <v>45210</v>
      </c>
      <c r="D4557" t="inlineStr">
        <is>
          <t>DALARNAS LÄN</t>
        </is>
      </c>
      <c r="E4557" t="inlineStr">
        <is>
          <t>BORLÄNGE</t>
        </is>
      </c>
      <c r="F4557" t="inlineStr">
        <is>
          <t>Bergvik skog väst AB</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35592-2022</t>
        </is>
      </c>
      <c r="B4558" s="1" t="n">
        <v>44799</v>
      </c>
      <c r="C4558" s="1" t="n">
        <v>45210</v>
      </c>
      <c r="D4558" t="inlineStr">
        <is>
          <t>DALARNAS LÄN</t>
        </is>
      </c>
      <c r="E4558" t="inlineStr">
        <is>
          <t>BORLÄNGE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35666-2022</t>
        </is>
      </c>
      <c r="B4559" s="1" t="n">
        <v>44799</v>
      </c>
      <c r="C4559" s="1" t="n">
        <v>45210</v>
      </c>
      <c r="D4559" t="inlineStr">
        <is>
          <t>DALARNAS LÄN</t>
        </is>
      </c>
      <c r="E4559" t="inlineStr">
        <is>
          <t>SMEDJEBACKEN</t>
        </is>
      </c>
      <c r="F4559" t="inlineStr">
        <is>
          <t>Sveaskog</t>
        </is>
      </c>
      <c r="G4559" t="n">
        <v>4</v>
      </c>
      <c r="H4559" t="n">
        <v>0</v>
      </c>
      <c r="I4559" t="n">
        <v>0</v>
      </c>
      <c r="J4559" t="n">
        <v>0</v>
      </c>
      <c r="K4559" t="n">
        <v>0</v>
      </c>
      <c r="L4559" t="n">
        <v>0</v>
      </c>
      <c r="M4559" t="n">
        <v>0</v>
      </c>
      <c r="N4559" t="n">
        <v>0</v>
      </c>
      <c r="O4559" t="n">
        <v>0</v>
      </c>
      <c r="P4559" t="n">
        <v>0</v>
      </c>
      <c r="Q4559" t="n">
        <v>0</v>
      </c>
      <c r="R4559" s="2" t="inlineStr"/>
    </row>
    <row r="4560" ht="15" customHeight="1">
      <c r="A4560" t="inlineStr">
        <is>
          <t>A 35806-2022</t>
        </is>
      </c>
      <c r="B4560" s="1" t="n">
        <v>44802</v>
      </c>
      <c r="C4560" s="1" t="n">
        <v>45210</v>
      </c>
      <c r="D4560" t="inlineStr">
        <is>
          <t>DALARNAS LÄN</t>
        </is>
      </c>
      <c r="E4560" t="inlineStr">
        <is>
          <t>HEDEMORA</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36029-2022</t>
        </is>
      </c>
      <c r="B4561" s="1" t="n">
        <v>44802</v>
      </c>
      <c r="C4561" s="1" t="n">
        <v>45210</v>
      </c>
      <c r="D4561" t="inlineStr">
        <is>
          <t>DALARNAS LÄN</t>
        </is>
      </c>
      <c r="E4561" t="inlineStr">
        <is>
          <t>MALUNG-SÄLEN</t>
        </is>
      </c>
      <c r="G4561" t="n">
        <v>2.3</v>
      </c>
      <c r="H4561" t="n">
        <v>0</v>
      </c>
      <c r="I4561" t="n">
        <v>0</v>
      </c>
      <c r="J4561" t="n">
        <v>0</v>
      </c>
      <c r="K4561" t="n">
        <v>0</v>
      </c>
      <c r="L4561" t="n">
        <v>0</v>
      </c>
      <c r="M4561" t="n">
        <v>0</v>
      </c>
      <c r="N4561" t="n">
        <v>0</v>
      </c>
      <c r="O4561" t="n">
        <v>0</v>
      </c>
      <c r="P4561" t="n">
        <v>0</v>
      </c>
      <c r="Q4561" t="n">
        <v>0</v>
      </c>
      <c r="R4561" s="2" t="inlineStr"/>
    </row>
    <row r="4562" ht="15" customHeight="1">
      <c r="A4562" t="inlineStr">
        <is>
          <t>A 35801-2022</t>
        </is>
      </c>
      <c r="B4562" s="1" t="n">
        <v>44802</v>
      </c>
      <c r="C4562" s="1" t="n">
        <v>45210</v>
      </c>
      <c r="D4562" t="inlineStr">
        <is>
          <t>DALARNAS LÄN</t>
        </is>
      </c>
      <c r="E4562" t="inlineStr">
        <is>
          <t>LEKSAND</t>
        </is>
      </c>
      <c r="F4562" t="inlineStr">
        <is>
          <t>Bergvik skog väst AB</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35807-2022</t>
        </is>
      </c>
      <c r="B4563" s="1" t="n">
        <v>44802</v>
      </c>
      <c r="C4563" s="1" t="n">
        <v>45210</v>
      </c>
      <c r="D4563" t="inlineStr">
        <is>
          <t>DALARNAS LÄN</t>
        </is>
      </c>
      <c r="E4563" t="inlineStr">
        <is>
          <t>FALUN</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36161-2022</t>
        </is>
      </c>
      <c r="B4564" s="1" t="n">
        <v>44803</v>
      </c>
      <c r="C4564" s="1" t="n">
        <v>45210</v>
      </c>
      <c r="D4564" t="inlineStr">
        <is>
          <t>DALARNAS LÄN</t>
        </is>
      </c>
      <c r="E4564" t="inlineStr">
        <is>
          <t>ÄLVDALEN</t>
        </is>
      </c>
      <c r="G4564" t="n">
        <v>8.199999999999999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36333-2022</t>
        </is>
      </c>
      <c r="B4565" s="1" t="n">
        <v>44803</v>
      </c>
      <c r="C4565" s="1" t="n">
        <v>45210</v>
      </c>
      <c r="D4565" t="inlineStr">
        <is>
          <t>DALARNAS LÄN</t>
        </is>
      </c>
      <c r="E4565" t="inlineStr">
        <is>
          <t>RÄTTVIK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36425-2022</t>
        </is>
      </c>
      <c r="B4566" s="1" t="n">
        <v>44804</v>
      </c>
      <c r="C4566" s="1" t="n">
        <v>45210</v>
      </c>
      <c r="D4566" t="inlineStr">
        <is>
          <t>DALARNAS LÄN</t>
        </is>
      </c>
      <c r="E4566" t="inlineStr">
        <is>
          <t>FALUN</t>
        </is>
      </c>
      <c r="F4566" t="inlineStr">
        <is>
          <t>Övriga statliga verk och myndigheter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36513-2022</t>
        </is>
      </c>
      <c r="B4567" s="1" t="n">
        <v>44804</v>
      </c>
      <c r="C4567" s="1" t="n">
        <v>45210</v>
      </c>
      <c r="D4567" t="inlineStr">
        <is>
          <t>DALARNAS LÄN</t>
        </is>
      </c>
      <c r="E4567" t="inlineStr">
        <is>
          <t>ÄLVDALEN</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36544-2022</t>
        </is>
      </c>
      <c r="B4568" s="1" t="n">
        <v>44804</v>
      </c>
      <c r="C4568" s="1" t="n">
        <v>45210</v>
      </c>
      <c r="D4568" t="inlineStr">
        <is>
          <t>DALARNAS LÄN</t>
        </is>
      </c>
      <c r="E4568" t="inlineStr">
        <is>
          <t>BORLÄNGE</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36759-2022</t>
        </is>
      </c>
      <c r="B4569" s="1" t="n">
        <v>44805</v>
      </c>
      <c r="C4569" s="1" t="n">
        <v>45210</v>
      </c>
      <c r="D4569" t="inlineStr">
        <is>
          <t>DALARNAS LÄN</t>
        </is>
      </c>
      <c r="E4569" t="inlineStr">
        <is>
          <t>BORLÄNGE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36865-2022</t>
        </is>
      </c>
      <c r="B4570" s="1" t="n">
        <v>44805</v>
      </c>
      <c r="C4570" s="1" t="n">
        <v>45210</v>
      </c>
      <c r="D4570" t="inlineStr">
        <is>
          <t>DALARNAS LÄN</t>
        </is>
      </c>
      <c r="E4570" t="inlineStr">
        <is>
          <t>HEDEMORA</t>
        </is>
      </c>
      <c r="G4570" t="n">
        <v>2.1</v>
      </c>
      <c r="H4570" t="n">
        <v>0</v>
      </c>
      <c r="I4570" t="n">
        <v>0</v>
      </c>
      <c r="J4570" t="n">
        <v>0</v>
      </c>
      <c r="K4570" t="n">
        <v>0</v>
      </c>
      <c r="L4570" t="n">
        <v>0</v>
      </c>
      <c r="M4570" t="n">
        <v>0</v>
      </c>
      <c r="N4570" t="n">
        <v>0</v>
      </c>
      <c r="O4570" t="n">
        <v>0</v>
      </c>
      <c r="P4570" t="n">
        <v>0</v>
      </c>
      <c r="Q4570" t="n">
        <v>0</v>
      </c>
      <c r="R4570" s="2" t="inlineStr"/>
    </row>
    <row r="4571" ht="15" customHeight="1">
      <c r="A4571" t="inlineStr">
        <is>
          <t>A 36855-2022</t>
        </is>
      </c>
      <c r="B4571" s="1" t="n">
        <v>44805</v>
      </c>
      <c r="C4571" s="1" t="n">
        <v>45210</v>
      </c>
      <c r="D4571" t="inlineStr">
        <is>
          <t>DALARNAS LÄN</t>
        </is>
      </c>
      <c r="E4571" t="inlineStr">
        <is>
          <t>VANSBRO</t>
        </is>
      </c>
      <c r="F4571" t="inlineStr">
        <is>
          <t>Bergvik skog väst AB</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36966-2022</t>
        </is>
      </c>
      <c r="B4572" s="1" t="n">
        <v>44806</v>
      </c>
      <c r="C4572" s="1" t="n">
        <v>45210</v>
      </c>
      <c r="D4572" t="inlineStr">
        <is>
          <t>DALARNAS LÄN</t>
        </is>
      </c>
      <c r="E4572" t="inlineStr">
        <is>
          <t>FALUN</t>
        </is>
      </c>
      <c r="G4572" t="n">
        <v>4.2</v>
      </c>
      <c r="H4572" t="n">
        <v>0</v>
      </c>
      <c r="I4572" t="n">
        <v>0</v>
      </c>
      <c r="J4572" t="n">
        <v>0</v>
      </c>
      <c r="K4572" t="n">
        <v>0</v>
      </c>
      <c r="L4572" t="n">
        <v>0</v>
      </c>
      <c r="M4572" t="n">
        <v>0</v>
      </c>
      <c r="N4572" t="n">
        <v>0</v>
      </c>
      <c r="O4572" t="n">
        <v>0</v>
      </c>
      <c r="P4572" t="n">
        <v>0</v>
      </c>
      <c r="Q4572" t="n">
        <v>0</v>
      </c>
      <c r="R4572" s="2" t="inlineStr"/>
    </row>
    <row r="4573" ht="15" customHeight="1">
      <c r="A4573" t="inlineStr">
        <is>
          <t>A 37386-2022</t>
        </is>
      </c>
      <c r="B4573" s="1" t="n">
        <v>44806</v>
      </c>
      <c r="C4573" s="1" t="n">
        <v>45210</v>
      </c>
      <c r="D4573" t="inlineStr">
        <is>
          <t>DALARNAS LÄN</t>
        </is>
      </c>
      <c r="E4573" t="inlineStr">
        <is>
          <t>RÄTTVIK</t>
        </is>
      </c>
      <c r="G4573" t="n">
        <v>2.8</v>
      </c>
      <c r="H4573" t="n">
        <v>0</v>
      </c>
      <c r="I4573" t="n">
        <v>0</v>
      </c>
      <c r="J4573" t="n">
        <v>0</v>
      </c>
      <c r="K4573" t="n">
        <v>0</v>
      </c>
      <c r="L4573" t="n">
        <v>0</v>
      </c>
      <c r="M4573" t="n">
        <v>0</v>
      </c>
      <c r="N4573" t="n">
        <v>0</v>
      </c>
      <c r="O4573" t="n">
        <v>0</v>
      </c>
      <c r="P4573" t="n">
        <v>0</v>
      </c>
      <c r="Q4573" t="n">
        <v>0</v>
      </c>
      <c r="R4573" s="2" t="inlineStr"/>
    </row>
    <row r="4574" ht="15" customHeight="1">
      <c r="A4574" t="inlineStr">
        <is>
          <t>A 37351-2022</t>
        </is>
      </c>
      <c r="B4574" s="1" t="n">
        <v>44806</v>
      </c>
      <c r="C4574" s="1" t="n">
        <v>45210</v>
      </c>
      <c r="D4574" t="inlineStr">
        <is>
          <t>DALARNAS LÄN</t>
        </is>
      </c>
      <c r="E4574" t="inlineStr">
        <is>
          <t>RÄTTVIK</t>
        </is>
      </c>
      <c r="G4574" t="n">
        <v>8.300000000000001</v>
      </c>
      <c r="H4574" t="n">
        <v>0</v>
      </c>
      <c r="I4574" t="n">
        <v>0</v>
      </c>
      <c r="J4574" t="n">
        <v>0</v>
      </c>
      <c r="K4574" t="n">
        <v>0</v>
      </c>
      <c r="L4574" t="n">
        <v>0</v>
      </c>
      <c r="M4574" t="n">
        <v>0</v>
      </c>
      <c r="N4574" t="n">
        <v>0</v>
      </c>
      <c r="O4574" t="n">
        <v>0</v>
      </c>
      <c r="P4574" t="n">
        <v>0</v>
      </c>
      <c r="Q4574" t="n">
        <v>0</v>
      </c>
      <c r="R4574" s="2" t="inlineStr"/>
    </row>
    <row r="4575" ht="15" customHeight="1">
      <c r="A4575" t="inlineStr">
        <is>
          <t>A 37018-2022</t>
        </is>
      </c>
      <c r="B4575" s="1" t="n">
        <v>44806</v>
      </c>
      <c r="C4575" s="1" t="n">
        <v>45210</v>
      </c>
      <c r="D4575" t="inlineStr">
        <is>
          <t>DALARNAS LÄN</t>
        </is>
      </c>
      <c r="E4575" t="inlineStr">
        <is>
          <t>RÄTTVIK</t>
        </is>
      </c>
      <c r="F4575" t="inlineStr">
        <is>
          <t>Sveaskog</t>
        </is>
      </c>
      <c r="G4575" t="n">
        <v>0.6</v>
      </c>
      <c r="H4575" t="n">
        <v>0</v>
      </c>
      <c r="I4575" t="n">
        <v>0</v>
      </c>
      <c r="J4575" t="n">
        <v>0</v>
      </c>
      <c r="K4575" t="n">
        <v>0</v>
      </c>
      <c r="L4575" t="n">
        <v>0</v>
      </c>
      <c r="M4575" t="n">
        <v>0</v>
      </c>
      <c r="N4575" t="n">
        <v>0</v>
      </c>
      <c r="O4575" t="n">
        <v>0</v>
      </c>
      <c r="P4575" t="n">
        <v>0</v>
      </c>
      <c r="Q4575" t="n">
        <v>0</v>
      </c>
      <c r="R4575" s="2" t="inlineStr"/>
      <c r="U4575">
        <f>HYPERLINK("https://klasma.github.io/Logging_2031/knärot/A 37018-2022.png", "A 37018-2022")</f>
        <v/>
      </c>
      <c r="V4575">
        <f>HYPERLINK("https://klasma.github.io/Logging_2031/klagomål/A 37018-2022.docx", "A 37018-2022")</f>
        <v/>
      </c>
      <c r="W4575">
        <f>HYPERLINK("https://klasma.github.io/Logging_2031/klagomålsmail/A 37018-2022.docx", "A 37018-2022")</f>
        <v/>
      </c>
      <c r="X4575">
        <f>HYPERLINK("https://klasma.github.io/Logging_2031/tillsyn/A 37018-2022.docx", "A 37018-2022")</f>
        <v/>
      </c>
      <c r="Y4575">
        <f>HYPERLINK("https://klasma.github.io/Logging_2031/tillsynsmail/A 37018-2022.docx", "A 37018-2022")</f>
        <v/>
      </c>
    </row>
    <row r="4576" ht="15" customHeight="1">
      <c r="A4576" t="inlineStr">
        <is>
          <t>A 37385-2022</t>
        </is>
      </c>
      <c r="B4576" s="1" t="n">
        <v>44806</v>
      </c>
      <c r="C4576" s="1" t="n">
        <v>45210</v>
      </c>
      <c r="D4576" t="inlineStr">
        <is>
          <t>DALARNAS LÄN</t>
        </is>
      </c>
      <c r="E4576" t="inlineStr">
        <is>
          <t>RÄTTVIK</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37147-2022</t>
        </is>
      </c>
      <c r="B4577" s="1" t="n">
        <v>44806</v>
      </c>
      <c r="C4577" s="1" t="n">
        <v>45210</v>
      </c>
      <c r="D4577" t="inlineStr">
        <is>
          <t>DALARNAS LÄN</t>
        </is>
      </c>
      <c r="E4577" t="inlineStr">
        <is>
          <t>VANSBRO</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37379-2022</t>
        </is>
      </c>
      <c r="B4578" s="1" t="n">
        <v>44806</v>
      </c>
      <c r="C4578" s="1" t="n">
        <v>45210</v>
      </c>
      <c r="D4578" t="inlineStr">
        <is>
          <t>DALARNAS LÄN</t>
        </is>
      </c>
      <c r="E4578" t="inlineStr">
        <is>
          <t>RÄTTVIK</t>
        </is>
      </c>
      <c r="G4578" t="n">
        <v>14.3</v>
      </c>
      <c r="H4578" t="n">
        <v>0</v>
      </c>
      <c r="I4578" t="n">
        <v>0</v>
      </c>
      <c r="J4578" t="n">
        <v>0</v>
      </c>
      <c r="K4578" t="n">
        <v>0</v>
      </c>
      <c r="L4578" t="n">
        <v>0</v>
      </c>
      <c r="M4578" t="n">
        <v>0</v>
      </c>
      <c r="N4578" t="n">
        <v>0</v>
      </c>
      <c r="O4578" t="n">
        <v>0</v>
      </c>
      <c r="P4578" t="n">
        <v>0</v>
      </c>
      <c r="Q4578" t="n">
        <v>0</v>
      </c>
      <c r="R4578" s="2" t="inlineStr"/>
    </row>
    <row r="4579" ht="15" customHeight="1">
      <c r="A4579" t="inlineStr">
        <is>
          <t>A 37392-2022</t>
        </is>
      </c>
      <c r="B4579" s="1" t="n">
        <v>44809</v>
      </c>
      <c r="C4579" s="1" t="n">
        <v>45210</v>
      </c>
      <c r="D4579" t="inlineStr">
        <is>
          <t>DALARNAS LÄN</t>
        </is>
      </c>
      <c r="E4579" t="inlineStr">
        <is>
          <t>MALUNG-SÄLEN</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37399-2022</t>
        </is>
      </c>
      <c r="B4580" s="1" t="n">
        <v>44809</v>
      </c>
      <c r="C4580" s="1" t="n">
        <v>45210</v>
      </c>
      <c r="D4580" t="inlineStr">
        <is>
          <t>DALARNAS LÄN</t>
        </is>
      </c>
      <c r="E4580" t="inlineStr">
        <is>
          <t>ÄLVDALEN</t>
        </is>
      </c>
      <c r="F4580" t="inlineStr">
        <is>
          <t>Allmännings- och besparingsskogar</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37460-2022</t>
        </is>
      </c>
      <c r="B4581" s="1" t="n">
        <v>44809</v>
      </c>
      <c r="C4581" s="1" t="n">
        <v>45210</v>
      </c>
      <c r="D4581" t="inlineStr">
        <is>
          <t>DALARNAS LÄN</t>
        </is>
      </c>
      <c r="E4581" t="inlineStr">
        <is>
          <t>FALUN</t>
        </is>
      </c>
      <c r="F4581" t="inlineStr">
        <is>
          <t>Övriga statliga verk och myndigheter</t>
        </is>
      </c>
      <c r="G4581" t="n">
        <v>6</v>
      </c>
      <c r="H4581" t="n">
        <v>0</v>
      </c>
      <c r="I4581" t="n">
        <v>0</v>
      </c>
      <c r="J4581" t="n">
        <v>0</v>
      </c>
      <c r="K4581" t="n">
        <v>0</v>
      </c>
      <c r="L4581" t="n">
        <v>0</v>
      </c>
      <c r="M4581" t="n">
        <v>0</v>
      </c>
      <c r="N4581" t="n">
        <v>0</v>
      </c>
      <c r="O4581" t="n">
        <v>0</v>
      </c>
      <c r="P4581" t="n">
        <v>0</v>
      </c>
      <c r="Q4581" t="n">
        <v>0</v>
      </c>
      <c r="R4581" s="2" t="inlineStr"/>
    </row>
    <row r="4582" ht="15" customHeight="1">
      <c r="A4582" t="inlineStr">
        <is>
          <t>A 37479-2022</t>
        </is>
      </c>
      <c r="B4582" s="1" t="n">
        <v>44809</v>
      </c>
      <c r="C4582" s="1" t="n">
        <v>45210</v>
      </c>
      <c r="D4582" t="inlineStr">
        <is>
          <t>DALARNAS LÄN</t>
        </is>
      </c>
      <c r="E4582" t="inlineStr">
        <is>
          <t>LUDVIKA</t>
        </is>
      </c>
      <c r="F4582" t="inlineStr">
        <is>
          <t>Naturvårdsverket</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37440-2022</t>
        </is>
      </c>
      <c r="B4583" s="1" t="n">
        <v>44809</v>
      </c>
      <c r="C4583" s="1" t="n">
        <v>45210</v>
      </c>
      <c r="D4583" t="inlineStr">
        <is>
          <t>DALARNAS LÄN</t>
        </is>
      </c>
      <c r="E4583" t="inlineStr">
        <is>
          <t>SÄTER</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37770-2022</t>
        </is>
      </c>
      <c r="B4584" s="1" t="n">
        <v>44810</v>
      </c>
      <c r="C4584" s="1" t="n">
        <v>45210</v>
      </c>
      <c r="D4584" t="inlineStr">
        <is>
          <t>DALARNAS LÄN</t>
        </is>
      </c>
      <c r="E4584" t="inlineStr">
        <is>
          <t>MALUNG-SÄLEN</t>
        </is>
      </c>
      <c r="F4584" t="inlineStr">
        <is>
          <t>Bergvik skog öst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37875-2022</t>
        </is>
      </c>
      <c r="B4585" s="1" t="n">
        <v>44811</v>
      </c>
      <c r="C4585" s="1" t="n">
        <v>45210</v>
      </c>
      <c r="D4585" t="inlineStr">
        <is>
          <t>DALARNAS LÄN</t>
        </is>
      </c>
      <c r="E4585" t="inlineStr">
        <is>
          <t>GAGNEF</t>
        </is>
      </c>
      <c r="G4585" t="n">
        <v>6.4</v>
      </c>
      <c r="H4585" t="n">
        <v>0</v>
      </c>
      <c r="I4585" t="n">
        <v>0</v>
      </c>
      <c r="J4585" t="n">
        <v>0</v>
      </c>
      <c r="K4585" t="n">
        <v>0</v>
      </c>
      <c r="L4585" t="n">
        <v>0</v>
      </c>
      <c r="M4585" t="n">
        <v>0</v>
      </c>
      <c r="N4585" t="n">
        <v>0</v>
      </c>
      <c r="O4585" t="n">
        <v>0</v>
      </c>
      <c r="P4585" t="n">
        <v>0</v>
      </c>
      <c r="Q4585" t="n">
        <v>0</v>
      </c>
      <c r="R4585" s="2" t="inlineStr"/>
    </row>
    <row r="4586" ht="15" customHeight="1">
      <c r="A4586" t="inlineStr">
        <is>
          <t>A 37887-2022</t>
        </is>
      </c>
      <c r="B4586" s="1" t="n">
        <v>44811</v>
      </c>
      <c r="C4586" s="1" t="n">
        <v>45210</v>
      </c>
      <c r="D4586" t="inlineStr">
        <is>
          <t>DALARNAS LÄN</t>
        </is>
      </c>
      <c r="E4586" t="inlineStr">
        <is>
          <t>MALUNG-SÄLEN</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38041-2022</t>
        </is>
      </c>
      <c r="B4587" s="1" t="n">
        <v>44811</v>
      </c>
      <c r="C4587" s="1" t="n">
        <v>45210</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37881-2022</t>
        </is>
      </c>
      <c r="B4588" s="1" t="n">
        <v>44811</v>
      </c>
      <c r="C4588" s="1" t="n">
        <v>45210</v>
      </c>
      <c r="D4588" t="inlineStr">
        <is>
          <t>DALARNAS LÄN</t>
        </is>
      </c>
      <c r="E4588" t="inlineStr">
        <is>
          <t>SMEDJEBACKEN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38014-2022</t>
        </is>
      </c>
      <c r="B4589" s="1" t="n">
        <v>44811</v>
      </c>
      <c r="C4589" s="1" t="n">
        <v>45210</v>
      </c>
      <c r="D4589" t="inlineStr">
        <is>
          <t>DALARNAS LÄN</t>
        </is>
      </c>
      <c r="E4589" t="inlineStr">
        <is>
          <t>LUDVIKA</t>
        </is>
      </c>
      <c r="F4589" t="inlineStr">
        <is>
          <t>Naturvårdsverket</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37884-2022</t>
        </is>
      </c>
      <c r="B4590" s="1" t="n">
        <v>44811</v>
      </c>
      <c r="C4590" s="1" t="n">
        <v>45210</v>
      </c>
      <c r="D4590" t="inlineStr">
        <is>
          <t>DALARNAS LÄN</t>
        </is>
      </c>
      <c r="E4590" t="inlineStr">
        <is>
          <t>SMEDJEBACKEN</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38050-2022</t>
        </is>
      </c>
      <c r="B4591" s="1" t="n">
        <v>44811</v>
      </c>
      <c r="C4591" s="1" t="n">
        <v>45210</v>
      </c>
      <c r="D4591" t="inlineStr">
        <is>
          <t>DALARNAS LÄN</t>
        </is>
      </c>
      <c r="E4591" t="inlineStr">
        <is>
          <t>MALUNG-SÄLEN</t>
        </is>
      </c>
      <c r="F4591" t="inlineStr">
        <is>
          <t>Bergvik skog öst AB</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37928-2022</t>
        </is>
      </c>
      <c r="B4592" s="1" t="n">
        <v>44811</v>
      </c>
      <c r="C4592" s="1" t="n">
        <v>45210</v>
      </c>
      <c r="D4592" t="inlineStr">
        <is>
          <t>DALARNAS LÄN</t>
        </is>
      </c>
      <c r="E4592" t="inlineStr">
        <is>
          <t>LEKSAND</t>
        </is>
      </c>
      <c r="G4592" t="n">
        <v>1.8</v>
      </c>
      <c r="H4592" t="n">
        <v>0</v>
      </c>
      <c r="I4592" t="n">
        <v>0</v>
      </c>
      <c r="J4592" t="n">
        <v>0</v>
      </c>
      <c r="K4592" t="n">
        <v>0</v>
      </c>
      <c r="L4592" t="n">
        <v>0</v>
      </c>
      <c r="M4592" t="n">
        <v>0</v>
      </c>
      <c r="N4592" t="n">
        <v>0</v>
      </c>
      <c r="O4592" t="n">
        <v>0</v>
      </c>
      <c r="P4592" t="n">
        <v>0</v>
      </c>
      <c r="Q4592" t="n">
        <v>0</v>
      </c>
      <c r="R4592" s="2" t="inlineStr"/>
    </row>
    <row r="4593" ht="15" customHeight="1">
      <c r="A4593" t="inlineStr">
        <is>
          <t>A 37983-2022</t>
        </is>
      </c>
      <c r="B4593" s="1" t="n">
        <v>44811</v>
      </c>
      <c r="C4593" s="1" t="n">
        <v>45210</v>
      </c>
      <c r="D4593" t="inlineStr">
        <is>
          <t>DALARNAS LÄN</t>
        </is>
      </c>
      <c r="E4593" t="inlineStr">
        <is>
          <t>MORA</t>
        </is>
      </c>
      <c r="F4593" t="inlineStr">
        <is>
          <t>Bergvik skog väst AB</t>
        </is>
      </c>
      <c r="G4593" t="n">
        <v>13.1</v>
      </c>
      <c r="H4593" t="n">
        <v>0</v>
      </c>
      <c r="I4593" t="n">
        <v>0</v>
      </c>
      <c r="J4593" t="n">
        <v>0</v>
      </c>
      <c r="K4593" t="n">
        <v>0</v>
      </c>
      <c r="L4593" t="n">
        <v>0</v>
      </c>
      <c r="M4593" t="n">
        <v>0</v>
      </c>
      <c r="N4593" t="n">
        <v>0</v>
      </c>
      <c r="O4593" t="n">
        <v>0</v>
      </c>
      <c r="P4593" t="n">
        <v>0</v>
      </c>
      <c r="Q4593" t="n">
        <v>0</v>
      </c>
      <c r="R4593" s="2" t="inlineStr"/>
    </row>
    <row r="4594" ht="15" customHeight="1">
      <c r="A4594" t="inlineStr">
        <is>
          <t>A 38054-2022</t>
        </is>
      </c>
      <c r="B4594" s="1" t="n">
        <v>44811</v>
      </c>
      <c r="C4594" s="1" t="n">
        <v>45210</v>
      </c>
      <c r="D4594" t="inlineStr">
        <is>
          <t>DALARNAS LÄN</t>
        </is>
      </c>
      <c r="E4594" t="inlineStr">
        <is>
          <t>MALUNG-SÄLEN</t>
        </is>
      </c>
      <c r="F4594" t="inlineStr">
        <is>
          <t>Bergvik skog öst AB</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38240-2022</t>
        </is>
      </c>
      <c r="B4595" s="1" t="n">
        <v>44812</v>
      </c>
      <c r="C4595" s="1" t="n">
        <v>45210</v>
      </c>
      <c r="D4595" t="inlineStr">
        <is>
          <t>DALARNAS LÄN</t>
        </is>
      </c>
      <c r="E4595" t="inlineStr">
        <is>
          <t>SÄTER</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38236-2022</t>
        </is>
      </c>
      <c r="B4596" s="1" t="n">
        <v>44812</v>
      </c>
      <c r="C4596" s="1" t="n">
        <v>45210</v>
      </c>
      <c r="D4596" t="inlineStr">
        <is>
          <t>DALARNAS LÄN</t>
        </is>
      </c>
      <c r="E4596" t="inlineStr">
        <is>
          <t>LEKSAND</t>
        </is>
      </c>
      <c r="F4596" t="inlineStr">
        <is>
          <t>Bergvik skog väst AB</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38283-2022</t>
        </is>
      </c>
      <c r="B4597" s="1" t="n">
        <v>44812</v>
      </c>
      <c r="C4597" s="1" t="n">
        <v>45210</v>
      </c>
      <c r="D4597" t="inlineStr">
        <is>
          <t>DALARNAS LÄN</t>
        </is>
      </c>
      <c r="E4597" t="inlineStr">
        <is>
          <t>BORLÄNGE</t>
        </is>
      </c>
      <c r="F4597" t="inlineStr">
        <is>
          <t>Bergvik skog väst AB</t>
        </is>
      </c>
      <c r="G4597" t="n">
        <v>4.8</v>
      </c>
      <c r="H4597" t="n">
        <v>0</v>
      </c>
      <c r="I4597" t="n">
        <v>0</v>
      </c>
      <c r="J4597" t="n">
        <v>0</v>
      </c>
      <c r="K4597" t="n">
        <v>0</v>
      </c>
      <c r="L4597" t="n">
        <v>0</v>
      </c>
      <c r="M4597" t="n">
        <v>0</v>
      </c>
      <c r="N4597" t="n">
        <v>0</v>
      </c>
      <c r="O4597" t="n">
        <v>0</v>
      </c>
      <c r="P4597" t="n">
        <v>0</v>
      </c>
      <c r="Q4597" t="n">
        <v>0</v>
      </c>
      <c r="R4597" s="2" t="inlineStr"/>
    </row>
    <row r="4598" ht="15" customHeight="1">
      <c r="A4598" t="inlineStr">
        <is>
          <t>A 38305-2022</t>
        </is>
      </c>
      <c r="B4598" s="1" t="n">
        <v>44812</v>
      </c>
      <c r="C4598" s="1" t="n">
        <v>45210</v>
      </c>
      <c r="D4598" t="inlineStr">
        <is>
          <t>DALARNAS LÄN</t>
        </is>
      </c>
      <c r="E4598" t="inlineStr">
        <is>
          <t>MORA</t>
        </is>
      </c>
      <c r="G4598" t="n">
        <v>15.8</v>
      </c>
      <c r="H4598" t="n">
        <v>0</v>
      </c>
      <c r="I4598" t="n">
        <v>0</v>
      </c>
      <c r="J4598" t="n">
        <v>0</v>
      </c>
      <c r="K4598" t="n">
        <v>0</v>
      </c>
      <c r="L4598" t="n">
        <v>0</v>
      </c>
      <c r="M4598" t="n">
        <v>0</v>
      </c>
      <c r="N4598" t="n">
        <v>0</v>
      </c>
      <c r="O4598" t="n">
        <v>0</v>
      </c>
      <c r="P4598" t="n">
        <v>0</v>
      </c>
      <c r="Q4598" t="n">
        <v>0</v>
      </c>
      <c r="R4598" s="2" t="inlineStr"/>
    </row>
    <row r="4599" ht="15" customHeight="1">
      <c r="A4599" t="inlineStr">
        <is>
          <t>A 38243-2022</t>
        </is>
      </c>
      <c r="B4599" s="1" t="n">
        <v>44812</v>
      </c>
      <c r="C4599" s="1" t="n">
        <v>45210</v>
      </c>
      <c r="D4599" t="inlineStr">
        <is>
          <t>DALARNAS LÄN</t>
        </is>
      </c>
      <c r="E4599" t="inlineStr">
        <is>
          <t>SÄTER</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38258-2022</t>
        </is>
      </c>
      <c r="B4600" s="1" t="n">
        <v>44812</v>
      </c>
      <c r="C4600" s="1" t="n">
        <v>45210</v>
      </c>
      <c r="D4600" t="inlineStr">
        <is>
          <t>DALARNAS LÄN</t>
        </is>
      </c>
      <c r="E4600" t="inlineStr">
        <is>
          <t>LEKSAND</t>
        </is>
      </c>
      <c r="G4600" t="n">
        <v>3.9</v>
      </c>
      <c r="H4600" t="n">
        <v>0</v>
      </c>
      <c r="I4600" t="n">
        <v>0</v>
      </c>
      <c r="J4600" t="n">
        <v>0</v>
      </c>
      <c r="K4600" t="n">
        <v>0</v>
      </c>
      <c r="L4600" t="n">
        <v>0</v>
      </c>
      <c r="M4600" t="n">
        <v>0</v>
      </c>
      <c r="N4600" t="n">
        <v>0</v>
      </c>
      <c r="O4600" t="n">
        <v>0</v>
      </c>
      <c r="P4600" t="n">
        <v>0</v>
      </c>
      <c r="Q4600" t="n">
        <v>0</v>
      </c>
      <c r="R4600" s="2" t="inlineStr"/>
    </row>
    <row r="4601" ht="15" customHeight="1">
      <c r="A4601" t="inlineStr">
        <is>
          <t>A 38438-2022</t>
        </is>
      </c>
      <c r="B4601" s="1" t="n">
        <v>44813</v>
      </c>
      <c r="C4601" s="1" t="n">
        <v>45210</v>
      </c>
      <c r="D4601" t="inlineStr">
        <is>
          <t>DALARNAS LÄN</t>
        </is>
      </c>
      <c r="E4601" t="inlineStr">
        <is>
          <t>SMEDJEBACKEN</t>
        </is>
      </c>
      <c r="F4601" t="inlineStr">
        <is>
          <t>Bergvik skog väst AB</t>
        </is>
      </c>
      <c r="G4601" t="n">
        <v>8.300000000000001</v>
      </c>
      <c r="H4601" t="n">
        <v>0</v>
      </c>
      <c r="I4601" t="n">
        <v>0</v>
      </c>
      <c r="J4601" t="n">
        <v>0</v>
      </c>
      <c r="K4601" t="n">
        <v>0</v>
      </c>
      <c r="L4601" t="n">
        <v>0</v>
      </c>
      <c r="M4601" t="n">
        <v>0</v>
      </c>
      <c r="N4601" t="n">
        <v>0</v>
      </c>
      <c r="O4601" t="n">
        <v>0</v>
      </c>
      <c r="P4601" t="n">
        <v>0</v>
      </c>
      <c r="Q4601" t="n">
        <v>0</v>
      </c>
      <c r="R4601" s="2" t="inlineStr"/>
    </row>
    <row r="4602" ht="15" customHeight="1">
      <c r="A4602" t="inlineStr">
        <is>
          <t>A 38517-2022</t>
        </is>
      </c>
      <c r="B4602" s="1" t="n">
        <v>44813</v>
      </c>
      <c r="C4602" s="1" t="n">
        <v>45210</v>
      </c>
      <c r="D4602" t="inlineStr">
        <is>
          <t>DALARNAS LÄN</t>
        </is>
      </c>
      <c r="E4602" t="inlineStr">
        <is>
          <t>FALUN</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38651-2022</t>
        </is>
      </c>
      <c r="B4603" s="1" t="n">
        <v>44813</v>
      </c>
      <c r="C4603" s="1" t="n">
        <v>45210</v>
      </c>
      <c r="D4603" t="inlineStr">
        <is>
          <t>DALARNAS LÄN</t>
        </is>
      </c>
      <c r="E4603" t="inlineStr">
        <is>
          <t>MORA</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38440-2022</t>
        </is>
      </c>
      <c r="B4604" s="1" t="n">
        <v>44813</v>
      </c>
      <c r="C4604" s="1" t="n">
        <v>45210</v>
      </c>
      <c r="D4604" t="inlineStr">
        <is>
          <t>DALARNAS LÄN</t>
        </is>
      </c>
      <c r="E4604" t="inlineStr">
        <is>
          <t>SMEDJEBACKEN</t>
        </is>
      </c>
      <c r="F4604" t="inlineStr">
        <is>
          <t>Bergvik skog väst AB</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38576-2022</t>
        </is>
      </c>
      <c r="B4605" s="1" t="n">
        <v>44813</v>
      </c>
      <c r="C4605" s="1" t="n">
        <v>45210</v>
      </c>
      <c r="D4605" t="inlineStr">
        <is>
          <t>DALARNAS LÄN</t>
        </is>
      </c>
      <c r="E4605" t="inlineStr">
        <is>
          <t>SMEDJEBACKEN</t>
        </is>
      </c>
      <c r="F4605" t="inlineStr">
        <is>
          <t>Sveaskog</t>
        </is>
      </c>
      <c r="G4605" t="n">
        <v>3.5</v>
      </c>
      <c r="H4605" t="n">
        <v>0</v>
      </c>
      <c r="I4605" t="n">
        <v>0</v>
      </c>
      <c r="J4605" t="n">
        <v>0</v>
      </c>
      <c r="K4605" t="n">
        <v>0</v>
      </c>
      <c r="L4605" t="n">
        <v>0</v>
      </c>
      <c r="M4605" t="n">
        <v>0</v>
      </c>
      <c r="N4605" t="n">
        <v>0</v>
      </c>
      <c r="O4605" t="n">
        <v>0</v>
      </c>
      <c r="P4605" t="n">
        <v>0</v>
      </c>
      <c r="Q4605" t="n">
        <v>0</v>
      </c>
      <c r="R4605" s="2" t="inlineStr"/>
    </row>
    <row r="4606" ht="15" customHeight="1">
      <c r="A4606" t="inlineStr">
        <is>
          <t>A 38441-2022</t>
        </is>
      </c>
      <c r="B4606" s="1" t="n">
        <v>44813</v>
      </c>
      <c r="C4606" s="1" t="n">
        <v>45210</v>
      </c>
      <c r="D4606" t="inlineStr">
        <is>
          <t>DALARNAS LÄN</t>
        </is>
      </c>
      <c r="E4606" t="inlineStr">
        <is>
          <t>SMEDJEBACKEN</t>
        </is>
      </c>
      <c r="F4606" t="inlineStr">
        <is>
          <t>Bergvik skog väst AB</t>
        </is>
      </c>
      <c r="G4606" t="n">
        <v>10.1</v>
      </c>
      <c r="H4606" t="n">
        <v>0</v>
      </c>
      <c r="I4606" t="n">
        <v>0</v>
      </c>
      <c r="J4606" t="n">
        <v>0</v>
      </c>
      <c r="K4606" t="n">
        <v>0</v>
      </c>
      <c r="L4606" t="n">
        <v>0</v>
      </c>
      <c r="M4606" t="n">
        <v>0</v>
      </c>
      <c r="N4606" t="n">
        <v>0</v>
      </c>
      <c r="O4606" t="n">
        <v>0</v>
      </c>
      <c r="P4606" t="n">
        <v>0</v>
      </c>
      <c r="Q4606" t="n">
        <v>0</v>
      </c>
      <c r="R4606" s="2" t="inlineStr"/>
    </row>
    <row r="4607" ht="15" customHeight="1">
      <c r="A4607" t="inlineStr">
        <is>
          <t>A 38957-2022</t>
        </is>
      </c>
      <c r="B4607" s="1" t="n">
        <v>44816</v>
      </c>
      <c r="C4607" s="1" t="n">
        <v>45210</v>
      </c>
      <c r="D4607" t="inlineStr">
        <is>
          <t>DALARNAS LÄN</t>
        </is>
      </c>
      <c r="E4607" t="inlineStr">
        <is>
          <t>ÄLVDALEN</t>
        </is>
      </c>
      <c r="F4607" t="inlineStr">
        <is>
          <t>Sveaskog</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38764-2022</t>
        </is>
      </c>
      <c r="B4608" s="1" t="n">
        <v>44816</v>
      </c>
      <c r="C4608" s="1" t="n">
        <v>45210</v>
      </c>
      <c r="D4608" t="inlineStr">
        <is>
          <t>DALARNAS LÄN</t>
        </is>
      </c>
      <c r="E4608" t="inlineStr">
        <is>
          <t>LEKSAND</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39210-2022</t>
        </is>
      </c>
      <c r="B4609" s="1" t="n">
        <v>44817</v>
      </c>
      <c r="C4609" s="1" t="n">
        <v>45210</v>
      </c>
      <c r="D4609" t="inlineStr">
        <is>
          <t>DALARNAS LÄN</t>
        </is>
      </c>
      <c r="E4609" t="inlineStr">
        <is>
          <t>MALUNG-SÄLEN</t>
        </is>
      </c>
      <c r="F4609" t="inlineStr">
        <is>
          <t>Bergvik skog väst AB</t>
        </is>
      </c>
      <c r="G4609" t="n">
        <v>20.5</v>
      </c>
      <c r="H4609" t="n">
        <v>0</v>
      </c>
      <c r="I4609" t="n">
        <v>0</v>
      </c>
      <c r="J4609" t="n">
        <v>0</v>
      </c>
      <c r="K4609" t="n">
        <v>0</v>
      </c>
      <c r="L4609" t="n">
        <v>0</v>
      </c>
      <c r="M4609" t="n">
        <v>0</v>
      </c>
      <c r="N4609" t="n">
        <v>0</v>
      </c>
      <c r="O4609" t="n">
        <v>0</v>
      </c>
      <c r="P4609" t="n">
        <v>0</v>
      </c>
      <c r="Q4609" t="n">
        <v>0</v>
      </c>
      <c r="R4609" s="2" t="inlineStr"/>
    </row>
    <row r="4610" ht="15" customHeight="1">
      <c r="A4610" t="inlineStr">
        <is>
          <t>A 39257-2022</t>
        </is>
      </c>
      <c r="B4610" s="1" t="n">
        <v>44817</v>
      </c>
      <c r="C4610" s="1" t="n">
        <v>45210</v>
      </c>
      <c r="D4610" t="inlineStr">
        <is>
          <t>DALARNAS LÄN</t>
        </is>
      </c>
      <c r="E4610" t="inlineStr">
        <is>
          <t>LUDVIKA</t>
        </is>
      </c>
      <c r="F4610" t="inlineStr">
        <is>
          <t>Bergvik skog väst AB</t>
        </is>
      </c>
      <c r="G4610" t="n">
        <v>10</v>
      </c>
      <c r="H4610" t="n">
        <v>0</v>
      </c>
      <c r="I4610" t="n">
        <v>0</v>
      </c>
      <c r="J4610" t="n">
        <v>0</v>
      </c>
      <c r="K4610" t="n">
        <v>0</v>
      </c>
      <c r="L4610" t="n">
        <v>0</v>
      </c>
      <c r="M4610" t="n">
        <v>0</v>
      </c>
      <c r="N4610" t="n">
        <v>0</v>
      </c>
      <c r="O4610" t="n">
        <v>0</v>
      </c>
      <c r="P4610" t="n">
        <v>0</v>
      </c>
      <c r="Q4610" t="n">
        <v>0</v>
      </c>
      <c r="R4610" s="2" t="inlineStr"/>
    </row>
    <row r="4611" ht="15" customHeight="1">
      <c r="A4611" t="inlineStr">
        <is>
          <t>A 39487-2022</t>
        </is>
      </c>
      <c r="B4611" s="1" t="n">
        <v>44817</v>
      </c>
      <c r="C4611" s="1" t="n">
        <v>45210</v>
      </c>
      <c r="D4611" t="inlineStr">
        <is>
          <t>DALARNAS LÄN</t>
        </is>
      </c>
      <c r="E4611" t="inlineStr">
        <is>
          <t>SÄTER</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39506-2022</t>
        </is>
      </c>
      <c r="B4612" s="1" t="n">
        <v>44817</v>
      </c>
      <c r="C4612" s="1" t="n">
        <v>45210</v>
      </c>
      <c r="D4612" t="inlineStr">
        <is>
          <t>DALARNAS LÄN</t>
        </is>
      </c>
      <c r="E4612" t="inlineStr">
        <is>
          <t>HEDEMORA</t>
        </is>
      </c>
      <c r="F4612" t="inlineStr">
        <is>
          <t>Bergvik skog väst AB</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39097-2022</t>
        </is>
      </c>
      <c r="B4613" s="1" t="n">
        <v>44817</v>
      </c>
      <c r="C4613" s="1" t="n">
        <v>45210</v>
      </c>
      <c r="D4613" t="inlineStr">
        <is>
          <t>DALARNAS LÄN</t>
        </is>
      </c>
      <c r="E4613" t="inlineStr">
        <is>
          <t>RÄTTVIK</t>
        </is>
      </c>
      <c r="F4613" t="inlineStr">
        <is>
          <t>Sveaskog</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39497-2022</t>
        </is>
      </c>
      <c r="B4614" s="1" t="n">
        <v>44817</v>
      </c>
      <c r="C4614" s="1" t="n">
        <v>45210</v>
      </c>
      <c r="D4614" t="inlineStr">
        <is>
          <t>DALARNAS LÄN</t>
        </is>
      </c>
      <c r="E4614" t="inlineStr">
        <is>
          <t>HEDEMORA</t>
        </is>
      </c>
      <c r="F4614" t="inlineStr">
        <is>
          <t>Bergvik skog väst AB</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39511-2022</t>
        </is>
      </c>
      <c r="B4615" s="1" t="n">
        <v>44817</v>
      </c>
      <c r="C4615" s="1" t="n">
        <v>45210</v>
      </c>
      <c r="D4615" t="inlineStr">
        <is>
          <t>DALARNAS LÄN</t>
        </is>
      </c>
      <c r="E4615" t="inlineStr">
        <is>
          <t>HEDEMORA</t>
        </is>
      </c>
      <c r="F4615" t="inlineStr">
        <is>
          <t>Bergvik skog väst AB</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39460-2022</t>
        </is>
      </c>
      <c r="B4616" s="1" t="n">
        <v>44817</v>
      </c>
      <c r="C4616" s="1" t="n">
        <v>45210</v>
      </c>
      <c r="D4616" t="inlineStr">
        <is>
          <t>DALARNAS LÄN</t>
        </is>
      </c>
      <c r="E4616" t="inlineStr">
        <is>
          <t>SÄTER</t>
        </is>
      </c>
      <c r="G4616" t="n">
        <v>3.2</v>
      </c>
      <c r="H4616" t="n">
        <v>0</v>
      </c>
      <c r="I4616" t="n">
        <v>0</v>
      </c>
      <c r="J4616" t="n">
        <v>0</v>
      </c>
      <c r="K4616" t="n">
        <v>0</v>
      </c>
      <c r="L4616" t="n">
        <v>0</v>
      </c>
      <c r="M4616" t="n">
        <v>0</v>
      </c>
      <c r="N4616" t="n">
        <v>0</v>
      </c>
      <c r="O4616" t="n">
        <v>0</v>
      </c>
      <c r="P4616" t="n">
        <v>0</v>
      </c>
      <c r="Q4616" t="n">
        <v>0</v>
      </c>
      <c r="R4616" s="2" t="inlineStr"/>
    </row>
    <row r="4617" ht="15" customHeight="1">
      <c r="A4617" t="inlineStr">
        <is>
          <t>A 40195-2022</t>
        </is>
      </c>
      <c r="B4617" s="1" t="n">
        <v>44818</v>
      </c>
      <c r="C4617" s="1" t="n">
        <v>45210</v>
      </c>
      <c r="D4617" t="inlineStr">
        <is>
          <t>DALARNAS LÄN</t>
        </is>
      </c>
      <c r="E4617" t="inlineStr">
        <is>
          <t>RÄTTVIK</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39654-2022</t>
        </is>
      </c>
      <c r="B4618" s="1" t="n">
        <v>44818</v>
      </c>
      <c r="C4618" s="1" t="n">
        <v>45210</v>
      </c>
      <c r="D4618" t="inlineStr">
        <is>
          <t>DALARNAS LÄN</t>
        </is>
      </c>
      <c r="E4618" t="inlineStr">
        <is>
          <t>RÄTTVIK</t>
        </is>
      </c>
      <c r="F4618" t="inlineStr">
        <is>
          <t>Bergvik skog väst AB</t>
        </is>
      </c>
      <c r="G4618" t="n">
        <v>13.3</v>
      </c>
      <c r="H4618" t="n">
        <v>0</v>
      </c>
      <c r="I4618" t="n">
        <v>0</v>
      </c>
      <c r="J4618" t="n">
        <v>0</v>
      </c>
      <c r="K4618" t="n">
        <v>0</v>
      </c>
      <c r="L4618" t="n">
        <v>0</v>
      </c>
      <c r="M4618" t="n">
        <v>0</v>
      </c>
      <c r="N4618" t="n">
        <v>0</v>
      </c>
      <c r="O4618" t="n">
        <v>0</v>
      </c>
      <c r="P4618" t="n">
        <v>0</v>
      </c>
      <c r="Q4618" t="n">
        <v>0</v>
      </c>
      <c r="R4618" s="2" t="inlineStr"/>
    </row>
    <row r="4619" ht="15" customHeight="1">
      <c r="A4619" t="inlineStr">
        <is>
          <t>A 40177-2022</t>
        </is>
      </c>
      <c r="B4619" s="1" t="n">
        <v>44818</v>
      </c>
      <c r="C4619" s="1" t="n">
        <v>45210</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40192-2022</t>
        </is>
      </c>
      <c r="B4620" s="1" t="n">
        <v>44818</v>
      </c>
      <c r="C4620" s="1" t="n">
        <v>45210</v>
      </c>
      <c r="D4620" t="inlineStr">
        <is>
          <t>DALARNAS LÄN</t>
        </is>
      </c>
      <c r="E4620" t="inlineStr">
        <is>
          <t>RÄTTVIK</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39983-2022</t>
        </is>
      </c>
      <c r="B4621" s="1" t="n">
        <v>44818</v>
      </c>
      <c r="C4621" s="1" t="n">
        <v>45210</v>
      </c>
      <c r="D4621" t="inlineStr">
        <is>
          <t>DALARNAS LÄN</t>
        </is>
      </c>
      <c r="E4621" t="inlineStr">
        <is>
          <t>RÄTTVIK</t>
        </is>
      </c>
      <c r="G4621" t="n">
        <v>5.5</v>
      </c>
      <c r="H4621" t="n">
        <v>0</v>
      </c>
      <c r="I4621" t="n">
        <v>0</v>
      </c>
      <c r="J4621" t="n">
        <v>0</v>
      </c>
      <c r="K4621" t="n">
        <v>0</v>
      </c>
      <c r="L4621" t="n">
        <v>0</v>
      </c>
      <c r="M4621" t="n">
        <v>0</v>
      </c>
      <c r="N4621" t="n">
        <v>0</v>
      </c>
      <c r="O4621" t="n">
        <v>0</v>
      </c>
      <c r="P4621" t="n">
        <v>0</v>
      </c>
      <c r="Q4621" t="n">
        <v>0</v>
      </c>
      <c r="R4621" s="2" t="inlineStr"/>
    </row>
    <row r="4622" ht="15" customHeight="1">
      <c r="A4622" t="inlineStr">
        <is>
          <t>A 40187-2022</t>
        </is>
      </c>
      <c r="B4622" s="1" t="n">
        <v>44818</v>
      </c>
      <c r="C4622" s="1" t="n">
        <v>45210</v>
      </c>
      <c r="D4622" t="inlineStr">
        <is>
          <t>DALARNAS LÄN</t>
        </is>
      </c>
      <c r="E4622" t="inlineStr">
        <is>
          <t>RÄTTVIK</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39468-2022</t>
        </is>
      </c>
      <c r="B4623" s="1" t="n">
        <v>44818</v>
      </c>
      <c r="C4623" s="1" t="n">
        <v>45210</v>
      </c>
      <c r="D4623" t="inlineStr">
        <is>
          <t>DALARNAS LÄN</t>
        </is>
      </c>
      <c r="E4623" t="inlineStr">
        <is>
          <t>VANSBRO</t>
        </is>
      </c>
      <c r="F4623" t="inlineStr">
        <is>
          <t>Bergvik skog väst AB</t>
        </is>
      </c>
      <c r="G4623" t="n">
        <v>9.699999999999999</v>
      </c>
      <c r="H4623" t="n">
        <v>0</v>
      </c>
      <c r="I4623" t="n">
        <v>0</v>
      </c>
      <c r="J4623" t="n">
        <v>0</v>
      </c>
      <c r="K4623" t="n">
        <v>0</v>
      </c>
      <c r="L4623" t="n">
        <v>0</v>
      </c>
      <c r="M4623" t="n">
        <v>0</v>
      </c>
      <c r="N4623" t="n">
        <v>0</v>
      </c>
      <c r="O4623" t="n">
        <v>0</v>
      </c>
      <c r="P4623" t="n">
        <v>0</v>
      </c>
      <c r="Q4623" t="n">
        <v>0</v>
      </c>
      <c r="R4623" s="2" t="inlineStr"/>
    </row>
    <row r="4624" ht="15" customHeight="1">
      <c r="A4624" t="inlineStr">
        <is>
          <t>A 39658-2022</t>
        </is>
      </c>
      <c r="B4624" s="1" t="n">
        <v>44818</v>
      </c>
      <c r="C4624" s="1" t="n">
        <v>45210</v>
      </c>
      <c r="D4624" t="inlineStr">
        <is>
          <t>DALARNAS LÄN</t>
        </is>
      </c>
      <c r="E4624" t="inlineStr">
        <is>
          <t>LEKSAND</t>
        </is>
      </c>
      <c r="G4624" t="n">
        <v>5.4</v>
      </c>
      <c r="H4624" t="n">
        <v>0</v>
      </c>
      <c r="I4624" t="n">
        <v>0</v>
      </c>
      <c r="J4624" t="n">
        <v>0</v>
      </c>
      <c r="K4624" t="n">
        <v>0</v>
      </c>
      <c r="L4624" t="n">
        <v>0</v>
      </c>
      <c r="M4624" t="n">
        <v>0</v>
      </c>
      <c r="N4624" t="n">
        <v>0</v>
      </c>
      <c r="O4624" t="n">
        <v>0</v>
      </c>
      <c r="P4624" t="n">
        <v>0</v>
      </c>
      <c r="Q4624" t="n">
        <v>0</v>
      </c>
      <c r="R4624" s="2" t="inlineStr"/>
    </row>
    <row r="4625" ht="15" customHeight="1">
      <c r="A4625" t="inlineStr">
        <is>
          <t>A 39742-2022</t>
        </is>
      </c>
      <c r="B4625" s="1" t="n">
        <v>44819</v>
      </c>
      <c r="C4625" s="1" t="n">
        <v>45210</v>
      </c>
      <c r="D4625" t="inlineStr">
        <is>
          <t>DALARNAS LÄN</t>
        </is>
      </c>
      <c r="E4625" t="inlineStr">
        <is>
          <t>SÄTER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39770-2022</t>
        </is>
      </c>
      <c r="B4626" s="1" t="n">
        <v>44819</v>
      </c>
      <c r="C4626" s="1" t="n">
        <v>45210</v>
      </c>
      <c r="D4626" t="inlineStr">
        <is>
          <t>DALARNAS LÄN</t>
        </is>
      </c>
      <c r="E4626" t="inlineStr">
        <is>
          <t>RÄTTVIK</t>
        </is>
      </c>
      <c r="G4626" t="n">
        <v>3.5</v>
      </c>
      <c r="H4626" t="n">
        <v>0</v>
      </c>
      <c r="I4626" t="n">
        <v>0</v>
      </c>
      <c r="J4626" t="n">
        <v>0</v>
      </c>
      <c r="K4626" t="n">
        <v>0</v>
      </c>
      <c r="L4626" t="n">
        <v>0</v>
      </c>
      <c r="M4626" t="n">
        <v>0</v>
      </c>
      <c r="N4626" t="n">
        <v>0</v>
      </c>
      <c r="O4626" t="n">
        <v>0</v>
      </c>
      <c r="P4626" t="n">
        <v>0</v>
      </c>
      <c r="Q4626" t="n">
        <v>0</v>
      </c>
      <c r="R4626" s="2" t="inlineStr"/>
    </row>
    <row r="4627" ht="15" customHeight="1">
      <c r="A4627" t="inlineStr">
        <is>
          <t>A 40542-2022</t>
        </is>
      </c>
      <c r="B4627" s="1" t="n">
        <v>44819</v>
      </c>
      <c r="C4627" s="1" t="n">
        <v>45210</v>
      </c>
      <c r="D4627" t="inlineStr">
        <is>
          <t>DALARNAS LÄN</t>
        </is>
      </c>
      <c r="E4627" t="inlineStr">
        <is>
          <t>RÄTTVIK</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39814-2022</t>
        </is>
      </c>
      <c r="B4628" s="1" t="n">
        <v>44819</v>
      </c>
      <c r="C4628" s="1" t="n">
        <v>45210</v>
      </c>
      <c r="D4628" t="inlineStr">
        <is>
          <t>DALARNAS LÄN</t>
        </is>
      </c>
      <c r="E4628" t="inlineStr">
        <is>
          <t>RÄTTVIK</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39852-2022</t>
        </is>
      </c>
      <c r="B4629" s="1" t="n">
        <v>44819</v>
      </c>
      <c r="C4629" s="1" t="n">
        <v>45210</v>
      </c>
      <c r="D4629" t="inlineStr">
        <is>
          <t>DALARNAS LÄN</t>
        </is>
      </c>
      <c r="E4629" t="inlineStr">
        <is>
          <t>MALUNG-SÄLEN</t>
        </is>
      </c>
      <c r="F4629" t="inlineStr">
        <is>
          <t>Bergvik skog väst AB</t>
        </is>
      </c>
      <c r="G4629" t="n">
        <v>6.1</v>
      </c>
      <c r="H4629" t="n">
        <v>0</v>
      </c>
      <c r="I4629" t="n">
        <v>0</v>
      </c>
      <c r="J4629" t="n">
        <v>0</v>
      </c>
      <c r="K4629" t="n">
        <v>0</v>
      </c>
      <c r="L4629" t="n">
        <v>0</v>
      </c>
      <c r="M4629" t="n">
        <v>0</v>
      </c>
      <c r="N4629" t="n">
        <v>0</v>
      </c>
      <c r="O4629" t="n">
        <v>0</v>
      </c>
      <c r="P4629" t="n">
        <v>0</v>
      </c>
      <c r="Q4629" t="n">
        <v>0</v>
      </c>
      <c r="R4629" s="2" t="inlineStr"/>
    </row>
    <row r="4630" ht="15" customHeight="1">
      <c r="A4630" t="inlineStr">
        <is>
          <t>A 39901-2022</t>
        </is>
      </c>
      <c r="B4630" s="1" t="n">
        <v>44819</v>
      </c>
      <c r="C4630" s="1" t="n">
        <v>45210</v>
      </c>
      <c r="D4630" t="inlineStr">
        <is>
          <t>DALARNAS LÄN</t>
        </is>
      </c>
      <c r="E4630" t="inlineStr">
        <is>
          <t>MORA</t>
        </is>
      </c>
      <c r="G4630" t="n">
        <v>4.9</v>
      </c>
      <c r="H4630" t="n">
        <v>0</v>
      </c>
      <c r="I4630" t="n">
        <v>0</v>
      </c>
      <c r="J4630" t="n">
        <v>0</v>
      </c>
      <c r="K4630" t="n">
        <v>0</v>
      </c>
      <c r="L4630" t="n">
        <v>0</v>
      </c>
      <c r="M4630" t="n">
        <v>0</v>
      </c>
      <c r="N4630" t="n">
        <v>0</v>
      </c>
      <c r="O4630" t="n">
        <v>0</v>
      </c>
      <c r="P4630" t="n">
        <v>0</v>
      </c>
      <c r="Q4630" t="n">
        <v>0</v>
      </c>
      <c r="R4630" s="2" t="inlineStr"/>
    </row>
    <row r="4631" ht="15" customHeight="1">
      <c r="A4631" t="inlineStr">
        <is>
          <t>A 40078-2022</t>
        </is>
      </c>
      <c r="B4631" s="1" t="n">
        <v>44820</v>
      </c>
      <c r="C4631" s="1" t="n">
        <v>45210</v>
      </c>
      <c r="D4631" t="inlineStr">
        <is>
          <t>DALARNAS LÄN</t>
        </is>
      </c>
      <c r="E4631" t="inlineStr">
        <is>
          <t>BORLÄNGE</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40124-2022</t>
        </is>
      </c>
      <c r="B4632" s="1" t="n">
        <v>44820</v>
      </c>
      <c r="C4632" s="1" t="n">
        <v>45210</v>
      </c>
      <c r="D4632" t="inlineStr">
        <is>
          <t>DALARNAS LÄN</t>
        </is>
      </c>
      <c r="E4632" t="inlineStr">
        <is>
          <t>BORLÄNGE</t>
        </is>
      </c>
      <c r="F4632" t="inlineStr">
        <is>
          <t>Bergvik skog väst AB</t>
        </is>
      </c>
      <c r="G4632" t="n">
        <v>6.2</v>
      </c>
      <c r="H4632" t="n">
        <v>0</v>
      </c>
      <c r="I4632" t="n">
        <v>0</v>
      </c>
      <c r="J4632" t="n">
        <v>0</v>
      </c>
      <c r="K4632" t="n">
        <v>0</v>
      </c>
      <c r="L4632" t="n">
        <v>0</v>
      </c>
      <c r="M4632" t="n">
        <v>0</v>
      </c>
      <c r="N4632" t="n">
        <v>0</v>
      </c>
      <c r="O4632" t="n">
        <v>0</v>
      </c>
      <c r="P4632" t="n">
        <v>0</v>
      </c>
      <c r="Q4632" t="n">
        <v>0</v>
      </c>
      <c r="R4632" s="2" t="inlineStr"/>
    </row>
    <row r="4633" ht="15" customHeight="1">
      <c r="A4633" t="inlineStr">
        <is>
          <t>A 39974-2022</t>
        </is>
      </c>
      <c r="B4633" s="1" t="n">
        <v>44820</v>
      </c>
      <c r="C4633" s="1" t="n">
        <v>45210</v>
      </c>
      <c r="D4633" t="inlineStr">
        <is>
          <t>DALARNAS LÄN</t>
        </is>
      </c>
      <c r="E4633" t="inlineStr">
        <is>
          <t>VANSBRO</t>
        </is>
      </c>
      <c r="G4633" t="n">
        <v>7.3</v>
      </c>
      <c r="H4633" t="n">
        <v>0</v>
      </c>
      <c r="I4633" t="n">
        <v>0</v>
      </c>
      <c r="J4633" t="n">
        <v>0</v>
      </c>
      <c r="K4633" t="n">
        <v>0</v>
      </c>
      <c r="L4633" t="n">
        <v>0</v>
      </c>
      <c r="M4633" t="n">
        <v>0</v>
      </c>
      <c r="N4633" t="n">
        <v>0</v>
      </c>
      <c r="O4633" t="n">
        <v>0</v>
      </c>
      <c r="P4633" t="n">
        <v>0</v>
      </c>
      <c r="Q4633" t="n">
        <v>0</v>
      </c>
      <c r="R4633" s="2" t="inlineStr"/>
    </row>
    <row r="4634" ht="15" customHeight="1">
      <c r="A4634" t="inlineStr">
        <is>
          <t>A 40119-2022</t>
        </is>
      </c>
      <c r="B4634" s="1" t="n">
        <v>44820</v>
      </c>
      <c r="C4634" s="1" t="n">
        <v>45210</v>
      </c>
      <c r="D4634" t="inlineStr">
        <is>
          <t>DALARNAS LÄN</t>
        </is>
      </c>
      <c r="E4634" t="inlineStr">
        <is>
          <t>SMEDJEBACKEN</t>
        </is>
      </c>
      <c r="F4634" t="inlineStr">
        <is>
          <t>Bergvik skog väst AB</t>
        </is>
      </c>
      <c r="G4634" t="n">
        <v>7.6</v>
      </c>
      <c r="H4634" t="n">
        <v>0</v>
      </c>
      <c r="I4634" t="n">
        <v>0</v>
      </c>
      <c r="J4634" t="n">
        <v>0</v>
      </c>
      <c r="K4634" t="n">
        <v>0</v>
      </c>
      <c r="L4634" t="n">
        <v>0</v>
      </c>
      <c r="M4634" t="n">
        <v>0</v>
      </c>
      <c r="N4634" t="n">
        <v>0</v>
      </c>
      <c r="O4634" t="n">
        <v>0</v>
      </c>
      <c r="P4634" t="n">
        <v>0</v>
      </c>
      <c r="Q4634" t="n">
        <v>0</v>
      </c>
      <c r="R4634" s="2" t="inlineStr"/>
    </row>
    <row r="4635" ht="15" customHeight="1">
      <c r="A4635" t="inlineStr">
        <is>
          <t>A 40025-2022</t>
        </is>
      </c>
      <c r="B4635" s="1" t="n">
        <v>44820</v>
      </c>
      <c r="C4635" s="1" t="n">
        <v>45210</v>
      </c>
      <c r="D4635" t="inlineStr">
        <is>
          <t>DALARNAS LÄN</t>
        </is>
      </c>
      <c r="E4635" t="inlineStr">
        <is>
          <t>HEDEMORA</t>
        </is>
      </c>
      <c r="F4635" t="inlineStr">
        <is>
          <t>Sveaskog</t>
        </is>
      </c>
      <c r="G4635" t="n">
        <v>8.4</v>
      </c>
      <c r="H4635" t="n">
        <v>0</v>
      </c>
      <c r="I4635" t="n">
        <v>0</v>
      </c>
      <c r="J4635" t="n">
        <v>0</v>
      </c>
      <c r="K4635" t="n">
        <v>0</v>
      </c>
      <c r="L4635" t="n">
        <v>0</v>
      </c>
      <c r="M4635" t="n">
        <v>0</v>
      </c>
      <c r="N4635" t="n">
        <v>0</v>
      </c>
      <c r="O4635" t="n">
        <v>0</v>
      </c>
      <c r="P4635" t="n">
        <v>0</v>
      </c>
      <c r="Q4635" t="n">
        <v>0</v>
      </c>
      <c r="R4635" s="2" t="inlineStr"/>
    </row>
    <row r="4636" ht="15" customHeight="1">
      <c r="A4636" t="inlineStr">
        <is>
          <t>A 40570-2022</t>
        </is>
      </c>
      <c r="B4636" s="1" t="n">
        <v>44823</v>
      </c>
      <c r="C4636" s="1" t="n">
        <v>45210</v>
      </c>
      <c r="D4636" t="inlineStr">
        <is>
          <t>DALARNAS LÄN</t>
        </is>
      </c>
      <c r="E4636" t="inlineStr">
        <is>
          <t>RÄTTVIK</t>
        </is>
      </c>
      <c r="G4636" t="n">
        <v>5.1</v>
      </c>
      <c r="H4636" t="n">
        <v>0</v>
      </c>
      <c r="I4636" t="n">
        <v>0</v>
      </c>
      <c r="J4636" t="n">
        <v>0</v>
      </c>
      <c r="K4636" t="n">
        <v>0</v>
      </c>
      <c r="L4636" t="n">
        <v>0</v>
      </c>
      <c r="M4636" t="n">
        <v>0</v>
      </c>
      <c r="N4636" t="n">
        <v>0</v>
      </c>
      <c r="O4636" t="n">
        <v>0</v>
      </c>
      <c r="P4636" t="n">
        <v>0</v>
      </c>
      <c r="Q4636" t="n">
        <v>0</v>
      </c>
      <c r="R4636" s="2" t="inlineStr"/>
    </row>
    <row r="4637" ht="15" customHeight="1">
      <c r="A4637" t="inlineStr">
        <is>
          <t>A 40634-2022</t>
        </is>
      </c>
      <c r="B4637" s="1" t="n">
        <v>44824</v>
      </c>
      <c r="C4637" s="1" t="n">
        <v>45210</v>
      </c>
      <c r="D4637" t="inlineStr">
        <is>
          <t>DALARNAS LÄN</t>
        </is>
      </c>
      <c r="E4637" t="inlineStr">
        <is>
          <t>FALUN</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40723-2022</t>
        </is>
      </c>
      <c r="B4638" s="1" t="n">
        <v>44824</v>
      </c>
      <c r="C4638" s="1" t="n">
        <v>45210</v>
      </c>
      <c r="D4638" t="inlineStr">
        <is>
          <t>DALARNAS LÄN</t>
        </is>
      </c>
      <c r="E4638" t="inlineStr">
        <is>
          <t>ÄLVDALEN</t>
        </is>
      </c>
      <c r="F4638" t="inlineStr">
        <is>
          <t>Övriga statliga verk och myndigheter</t>
        </is>
      </c>
      <c r="G4638" t="n">
        <v>14.7</v>
      </c>
      <c r="H4638" t="n">
        <v>0</v>
      </c>
      <c r="I4638" t="n">
        <v>0</v>
      </c>
      <c r="J4638" t="n">
        <v>0</v>
      </c>
      <c r="K4638" t="n">
        <v>0</v>
      </c>
      <c r="L4638" t="n">
        <v>0</v>
      </c>
      <c r="M4638" t="n">
        <v>0</v>
      </c>
      <c r="N4638" t="n">
        <v>0</v>
      </c>
      <c r="O4638" t="n">
        <v>0</v>
      </c>
      <c r="P4638" t="n">
        <v>0</v>
      </c>
      <c r="Q4638" t="n">
        <v>0</v>
      </c>
      <c r="R4638" s="2" t="inlineStr"/>
    </row>
    <row r="4639" ht="15" customHeight="1">
      <c r="A4639" t="inlineStr">
        <is>
          <t>A 43275-2022</t>
        </is>
      </c>
      <c r="B4639" s="1" t="n">
        <v>44824</v>
      </c>
      <c r="C4639" s="1" t="n">
        <v>45210</v>
      </c>
      <c r="D4639" t="inlineStr">
        <is>
          <t>DALARNAS LÄN</t>
        </is>
      </c>
      <c r="E4639" t="inlineStr">
        <is>
          <t>LEKSAND</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40720-2022</t>
        </is>
      </c>
      <c r="B4640" s="1" t="n">
        <v>44824</v>
      </c>
      <c r="C4640" s="1" t="n">
        <v>45210</v>
      </c>
      <c r="D4640" t="inlineStr">
        <is>
          <t>DALARNAS LÄN</t>
        </is>
      </c>
      <c r="E4640" t="inlineStr">
        <is>
          <t>ÄLVDALEN</t>
        </is>
      </c>
      <c r="F4640" t="inlineStr">
        <is>
          <t>Övriga statliga verk och myndigheter</t>
        </is>
      </c>
      <c r="G4640" t="n">
        <v>6.7</v>
      </c>
      <c r="H4640" t="n">
        <v>0</v>
      </c>
      <c r="I4640" t="n">
        <v>0</v>
      </c>
      <c r="J4640" t="n">
        <v>0</v>
      </c>
      <c r="K4640" t="n">
        <v>0</v>
      </c>
      <c r="L4640" t="n">
        <v>0</v>
      </c>
      <c r="M4640" t="n">
        <v>0</v>
      </c>
      <c r="N4640" t="n">
        <v>0</v>
      </c>
      <c r="O4640" t="n">
        <v>0</v>
      </c>
      <c r="P4640" t="n">
        <v>0</v>
      </c>
      <c r="Q4640" t="n">
        <v>0</v>
      </c>
      <c r="R4640" s="2" t="inlineStr"/>
    </row>
    <row r="4641" ht="15" customHeight="1">
      <c r="A4641" t="inlineStr">
        <is>
          <t>A 40973-2022</t>
        </is>
      </c>
      <c r="B4641" s="1" t="n">
        <v>44824</v>
      </c>
      <c r="C4641" s="1" t="n">
        <v>45210</v>
      </c>
      <c r="D4641" t="inlineStr">
        <is>
          <t>DALARNAS LÄN</t>
        </is>
      </c>
      <c r="E4641" t="inlineStr">
        <is>
          <t>RÄTTVIK</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41351-2022</t>
        </is>
      </c>
      <c r="B4642" s="1" t="n">
        <v>44824</v>
      </c>
      <c r="C4642" s="1" t="n">
        <v>45210</v>
      </c>
      <c r="D4642" t="inlineStr">
        <is>
          <t>DALARNAS LÄN</t>
        </is>
      </c>
      <c r="E4642" t="inlineStr">
        <is>
          <t>LEKSAND</t>
        </is>
      </c>
      <c r="G4642" t="n">
        <v>2.7</v>
      </c>
      <c r="H4642" t="n">
        <v>0</v>
      </c>
      <c r="I4642" t="n">
        <v>0</v>
      </c>
      <c r="J4642" t="n">
        <v>0</v>
      </c>
      <c r="K4642" t="n">
        <v>0</v>
      </c>
      <c r="L4642" t="n">
        <v>0</v>
      </c>
      <c r="M4642" t="n">
        <v>0</v>
      </c>
      <c r="N4642" t="n">
        <v>0</v>
      </c>
      <c r="O4642" t="n">
        <v>0</v>
      </c>
      <c r="P4642" t="n">
        <v>0</v>
      </c>
      <c r="Q4642" t="n">
        <v>0</v>
      </c>
      <c r="R4642" s="2" t="inlineStr"/>
    </row>
    <row r="4643" ht="15" customHeight="1">
      <c r="A4643" t="inlineStr">
        <is>
          <t>A 40635-2022</t>
        </is>
      </c>
      <c r="B4643" s="1" t="n">
        <v>44824</v>
      </c>
      <c r="C4643" s="1" t="n">
        <v>45210</v>
      </c>
      <c r="D4643" t="inlineStr">
        <is>
          <t>DALARNAS LÄN</t>
        </is>
      </c>
      <c r="E4643" t="inlineStr">
        <is>
          <t>FALUN</t>
        </is>
      </c>
      <c r="G4643" t="n">
        <v>0.5</v>
      </c>
      <c r="H4643" t="n">
        <v>0</v>
      </c>
      <c r="I4643" t="n">
        <v>0</v>
      </c>
      <c r="J4643" t="n">
        <v>0</v>
      </c>
      <c r="K4643" t="n">
        <v>0</v>
      </c>
      <c r="L4643" t="n">
        <v>0</v>
      </c>
      <c r="M4643" t="n">
        <v>0</v>
      </c>
      <c r="N4643" t="n">
        <v>0</v>
      </c>
      <c r="O4643" t="n">
        <v>0</v>
      </c>
      <c r="P4643" t="n">
        <v>0</v>
      </c>
      <c r="Q4643" t="n">
        <v>0</v>
      </c>
      <c r="R4643" s="2" t="inlineStr"/>
    </row>
    <row r="4644" ht="15" customHeight="1">
      <c r="A4644" t="inlineStr">
        <is>
          <t>A 40644-2022</t>
        </is>
      </c>
      <c r="B4644" s="1" t="n">
        <v>44824</v>
      </c>
      <c r="C4644" s="1" t="n">
        <v>45210</v>
      </c>
      <c r="D4644" t="inlineStr">
        <is>
          <t>DALARNAS LÄN</t>
        </is>
      </c>
      <c r="E4644" t="inlineStr">
        <is>
          <t>SMEDJEBACKEN</t>
        </is>
      </c>
      <c r="F4644" t="inlineStr">
        <is>
          <t>Sveaskog</t>
        </is>
      </c>
      <c r="G4644" t="n">
        <v>18.7</v>
      </c>
      <c r="H4644" t="n">
        <v>0</v>
      </c>
      <c r="I4644" t="n">
        <v>0</v>
      </c>
      <c r="J4644" t="n">
        <v>0</v>
      </c>
      <c r="K4644" t="n">
        <v>0</v>
      </c>
      <c r="L4644" t="n">
        <v>0</v>
      </c>
      <c r="M4644" t="n">
        <v>0</v>
      </c>
      <c r="N4644" t="n">
        <v>0</v>
      </c>
      <c r="O4644" t="n">
        <v>0</v>
      </c>
      <c r="P4644" t="n">
        <v>0</v>
      </c>
      <c r="Q4644" t="n">
        <v>0</v>
      </c>
      <c r="R4644" s="2" t="inlineStr"/>
    </row>
    <row r="4645" ht="15" customHeight="1">
      <c r="A4645" t="inlineStr">
        <is>
          <t>A 40726-2022</t>
        </is>
      </c>
      <c r="B4645" s="1" t="n">
        <v>44824</v>
      </c>
      <c r="C4645" s="1" t="n">
        <v>45210</v>
      </c>
      <c r="D4645" t="inlineStr">
        <is>
          <t>DALARNAS LÄN</t>
        </is>
      </c>
      <c r="E4645" t="inlineStr">
        <is>
          <t>ÄLVDALEN</t>
        </is>
      </c>
      <c r="F4645" t="inlineStr">
        <is>
          <t>Övriga statliga verk och myndigheter</t>
        </is>
      </c>
      <c r="G4645" t="n">
        <v>12.5</v>
      </c>
      <c r="H4645" t="n">
        <v>0</v>
      </c>
      <c r="I4645" t="n">
        <v>0</v>
      </c>
      <c r="J4645" t="n">
        <v>0</v>
      </c>
      <c r="K4645" t="n">
        <v>0</v>
      </c>
      <c r="L4645" t="n">
        <v>0</v>
      </c>
      <c r="M4645" t="n">
        <v>0</v>
      </c>
      <c r="N4645" t="n">
        <v>0</v>
      </c>
      <c r="O4645" t="n">
        <v>0</v>
      </c>
      <c r="P4645" t="n">
        <v>0</v>
      </c>
      <c r="Q4645" t="n">
        <v>0</v>
      </c>
      <c r="R4645" s="2" t="inlineStr"/>
    </row>
    <row r="4646" ht="15" customHeight="1">
      <c r="A4646" t="inlineStr">
        <is>
          <t>A 41216-2022</t>
        </is>
      </c>
      <c r="B4646" s="1" t="n">
        <v>44826</v>
      </c>
      <c r="C4646" s="1" t="n">
        <v>45210</v>
      </c>
      <c r="D4646" t="inlineStr">
        <is>
          <t>DALARNAS LÄN</t>
        </is>
      </c>
      <c r="E4646" t="inlineStr">
        <is>
          <t>VANSBRO</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41328-2022</t>
        </is>
      </c>
      <c r="B4647" s="1" t="n">
        <v>44826</v>
      </c>
      <c r="C4647" s="1" t="n">
        <v>45210</v>
      </c>
      <c r="D4647" t="inlineStr">
        <is>
          <t>DALARNAS LÄN</t>
        </is>
      </c>
      <c r="E4647" t="inlineStr">
        <is>
          <t>LUDVIKA</t>
        </is>
      </c>
      <c r="F4647" t="inlineStr">
        <is>
          <t>Bergvik skog väst AB</t>
        </is>
      </c>
      <c r="G4647" t="n">
        <v>6.1</v>
      </c>
      <c r="H4647" t="n">
        <v>0</v>
      </c>
      <c r="I4647" t="n">
        <v>0</v>
      </c>
      <c r="J4647" t="n">
        <v>0</v>
      </c>
      <c r="K4647" t="n">
        <v>0</v>
      </c>
      <c r="L4647" t="n">
        <v>0</v>
      </c>
      <c r="M4647" t="n">
        <v>0</v>
      </c>
      <c r="N4647" t="n">
        <v>0</v>
      </c>
      <c r="O4647" t="n">
        <v>0</v>
      </c>
      <c r="P4647" t="n">
        <v>0</v>
      </c>
      <c r="Q4647" t="n">
        <v>0</v>
      </c>
      <c r="R4647" s="2" t="inlineStr"/>
    </row>
    <row r="4648" ht="15" customHeight="1">
      <c r="A4648" t="inlineStr">
        <is>
          <t>A 41337-2022</t>
        </is>
      </c>
      <c r="B4648" s="1" t="n">
        <v>44826</v>
      </c>
      <c r="C4648" s="1" t="n">
        <v>45210</v>
      </c>
      <c r="D4648" t="inlineStr">
        <is>
          <t>DALARNAS LÄN</t>
        </is>
      </c>
      <c r="E4648" t="inlineStr">
        <is>
          <t>SMEDJEBACKEN</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41400-2022</t>
        </is>
      </c>
      <c r="B4649" s="1" t="n">
        <v>44826</v>
      </c>
      <c r="C4649" s="1" t="n">
        <v>45210</v>
      </c>
      <c r="D4649" t="inlineStr">
        <is>
          <t>DALARNAS LÄN</t>
        </is>
      </c>
      <c r="E4649" t="inlineStr">
        <is>
          <t>LUDVIKA</t>
        </is>
      </c>
      <c r="F4649" t="inlineStr">
        <is>
          <t>Bergvik skog väst AB</t>
        </is>
      </c>
      <c r="G4649" t="n">
        <v>3.5</v>
      </c>
      <c r="H4649" t="n">
        <v>0</v>
      </c>
      <c r="I4649" t="n">
        <v>0</v>
      </c>
      <c r="J4649" t="n">
        <v>0</v>
      </c>
      <c r="K4649" t="n">
        <v>0</v>
      </c>
      <c r="L4649" t="n">
        <v>0</v>
      </c>
      <c r="M4649" t="n">
        <v>0</v>
      </c>
      <c r="N4649" t="n">
        <v>0</v>
      </c>
      <c r="O4649" t="n">
        <v>0</v>
      </c>
      <c r="P4649" t="n">
        <v>0</v>
      </c>
      <c r="Q4649" t="n">
        <v>0</v>
      </c>
      <c r="R4649" s="2" t="inlineStr"/>
    </row>
    <row r="4650" ht="15" customHeight="1">
      <c r="A4650" t="inlineStr">
        <is>
          <t>A 41333-2022</t>
        </is>
      </c>
      <c r="B4650" s="1" t="n">
        <v>44826</v>
      </c>
      <c r="C4650" s="1" t="n">
        <v>45210</v>
      </c>
      <c r="D4650" t="inlineStr">
        <is>
          <t>DALARNAS LÄN</t>
        </is>
      </c>
      <c r="E4650" t="inlineStr">
        <is>
          <t>MALUNG-SÄLEN</t>
        </is>
      </c>
      <c r="F4650" t="inlineStr">
        <is>
          <t>Allmännings- och besparingsskogar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41439-2022</t>
        </is>
      </c>
      <c r="B4651" s="1" t="n">
        <v>44826</v>
      </c>
      <c r="C4651" s="1" t="n">
        <v>45210</v>
      </c>
      <c r="D4651" t="inlineStr">
        <is>
          <t>DALARNAS LÄN</t>
        </is>
      </c>
      <c r="E4651" t="inlineStr">
        <is>
          <t>FALUN</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41584-2022</t>
        </is>
      </c>
      <c r="B4652" s="1" t="n">
        <v>44827</v>
      </c>
      <c r="C4652" s="1" t="n">
        <v>45210</v>
      </c>
      <c r="D4652" t="inlineStr">
        <is>
          <t>DALARNAS LÄN</t>
        </is>
      </c>
      <c r="E4652" t="inlineStr">
        <is>
          <t>SMEDJEBACKEN</t>
        </is>
      </c>
      <c r="G4652" t="n">
        <v>8.699999999999999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41593-2022</t>
        </is>
      </c>
      <c r="B4653" s="1" t="n">
        <v>44827</v>
      </c>
      <c r="C4653" s="1" t="n">
        <v>45210</v>
      </c>
      <c r="D4653" t="inlineStr">
        <is>
          <t>DALARNAS LÄN</t>
        </is>
      </c>
      <c r="E4653" t="inlineStr">
        <is>
          <t>FALUN</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41664-2022</t>
        </is>
      </c>
      <c r="B4654" s="1" t="n">
        <v>44827</v>
      </c>
      <c r="C4654" s="1" t="n">
        <v>45210</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41594-2022</t>
        </is>
      </c>
      <c r="B4655" s="1" t="n">
        <v>44827</v>
      </c>
      <c r="C4655" s="1" t="n">
        <v>45210</v>
      </c>
      <c r="D4655" t="inlineStr">
        <is>
          <t>DALARNAS LÄN</t>
        </is>
      </c>
      <c r="E4655" t="inlineStr">
        <is>
          <t>LUDVIKA</t>
        </is>
      </c>
      <c r="F4655" t="inlineStr">
        <is>
          <t>Bergvik skog väst AB</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41856-2022</t>
        </is>
      </c>
      <c r="B4656" s="1" t="n">
        <v>44829</v>
      </c>
      <c r="C4656" s="1" t="n">
        <v>45210</v>
      </c>
      <c r="D4656" t="inlineStr">
        <is>
          <t>DALARNAS LÄN</t>
        </is>
      </c>
      <c r="E4656" t="inlineStr">
        <is>
          <t>ÄLVDALEN</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41873-2022</t>
        </is>
      </c>
      <c r="B4657" s="1" t="n">
        <v>44829</v>
      </c>
      <c r="C4657" s="1" t="n">
        <v>45210</v>
      </c>
      <c r="D4657" t="inlineStr">
        <is>
          <t>DALARNAS LÄN</t>
        </is>
      </c>
      <c r="E4657" t="inlineStr">
        <is>
          <t>LEKSAND</t>
        </is>
      </c>
      <c r="G4657" t="n">
        <v>2.1</v>
      </c>
      <c r="H4657" t="n">
        <v>0</v>
      </c>
      <c r="I4657" t="n">
        <v>0</v>
      </c>
      <c r="J4657" t="n">
        <v>0</v>
      </c>
      <c r="K4657" t="n">
        <v>0</v>
      </c>
      <c r="L4657" t="n">
        <v>0</v>
      </c>
      <c r="M4657" t="n">
        <v>0</v>
      </c>
      <c r="N4657" t="n">
        <v>0</v>
      </c>
      <c r="O4657" t="n">
        <v>0</v>
      </c>
      <c r="P4657" t="n">
        <v>0</v>
      </c>
      <c r="Q4657" t="n">
        <v>0</v>
      </c>
      <c r="R4657" s="2" t="inlineStr"/>
    </row>
    <row r="4658" ht="15" customHeight="1">
      <c r="A4658" t="inlineStr">
        <is>
          <t>A 41855-2022</t>
        </is>
      </c>
      <c r="B4658" s="1" t="n">
        <v>44829</v>
      </c>
      <c r="C4658" s="1" t="n">
        <v>45210</v>
      </c>
      <c r="D4658" t="inlineStr">
        <is>
          <t>DALARNAS LÄN</t>
        </is>
      </c>
      <c r="E4658" t="inlineStr">
        <is>
          <t>ÄLVDALEN</t>
        </is>
      </c>
      <c r="G4658" t="n">
        <v>19.3</v>
      </c>
      <c r="H4658" t="n">
        <v>0</v>
      </c>
      <c r="I4658" t="n">
        <v>0</v>
      </c>
      <c r="J4658" t="n">
        <v>0</v>
      </c>
      <c r="K4658" t="n">
        <v>0</v>
      </c>
      <c r="L4658" t="n">
        <v>0</v>
      </c>
      <c r="M4658" t="n">
        <v>0</v>
      </c>
      <c r="N4658" t="n">
        <v>0</v>
      </c>
      <c r="O4658" t="n">
        <v>0</v>
      </c>
      <c r="P4658" t="n">
        <v>0</v>
      </c>
      <c r="Q4658" t="n">
        <v>0</v>
      </c>
      <c r="R4658" s="2" t="inlineStr"/>
    </row>
    <row r="4659" ht="15" customHeight="1">
      <c r="A4659" t="inlineStr">
        <is>
          <t>A 41978-2022</t>
        </is>
      </c>
      <c r="B4659" s="1" t="n">
        <v>44830</v>
      </c>
      <c r="C4659" s="1" t="n">
        <v>45210</v>
      </c>
      <c r="D4659" t="inlineStr">
        <is>
          <t>DALARNAS LÄN</t>
        </is>
      </c>
      <c r="E4659" t="inlineStr">
        <is>
          <t>BORLÄNGE</t>
        </is>
      </c>
      <c r="G4659" t="n">
        <v>6.7</v>
      </c>
      <c r="H4659" t="n">
        <v>0</v>
      </c>
      <c r="I4659" t="n">
        <v>0</v>
      </c>
      <c r="J4659" t="n">
        <v>0</v>
      </c>
      <c r="K4659" t="n">
        <v>0</v>
      </c>
      <c r="L4659" t="n">
        <v>0</v>
      </c>
      <c r="M4659" t="n">
        <v>0</v>
      </c>
      <c r="N4659" t="n">
        <v>0</v>
      </c>
      <c r="O4659" t="n">
        <v>0</v>
      </c>
      <c r="P4659" t="n">
        <v>0</v>
      </c>
      <c r="Q4659" t="n">
        <v>0</v>
      </c>
      <c r="R4659" s="2" t="inlineStr"/>
    </row>
    <row r="4660" ht="15" customHeight="1">
      <c r="A4660" t="inlineStr">
        <is>
          <t>A 41973-2022</t>
        </is>
      </c>
      <c r="B4660" s="1" t="n">
        <v>44830</v>
      </c>
      <c r="C4660" s="1" t="n">
        <v>45210</v>
      </c>
      <c r="D4660" t="inlineStr">
        <is>
          <t>DALARNAS LÄN</t>
        </is>
      </c>
      <c r="E4660" t="inlineStr">
        <is>
          <t>BORLÄNGE</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42225-2022</t>
        </is>
      </c>
      <c r="B4661" s="1" t="n">
        <v>44830</v>
      </c>
      <c r="C4661" s="1" t="n">
        <v>45210</v>
      </c>
      <c r="D4661" t="inlineStr">
        <is>
          <t>DALARNAS LÄN</t>
        </is>
      </c>
      <c r="E4661" t="inlineStr">
        <is>
          <t>SÄTER</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42188-2022</t>
        </is>
      </c>
      <c r="B4662" s="1" t="n">
        <v>44830</v>
      </c>
      <c r="C4662" s="1" t="n">
        <v>45210</v>
      </c>
      <c r="D4662" t="inlineStr">
        <is>
          <t>DALARNAS LÄN</t>
        </is>
      </c>
      <c r="E4662" t="inlineStr">
        <is>
          <t>FALUN</t>
        </is>
      </c>
      <c r="F4662" t="inlineStr">
        <is>
          <t>Bergvik skog väst AB</t>
        </is>
      </c>
      <c r="G4662" t="n">
        <v>8.300000000000001</v>
      </c>
      <c r="H4662" t="n">
        <v>0</v>
      </c>
      <c r="I4662" t="n">
        <v>0</v>
      </c>
      <c r="J4662" t="n">
        <v>0</v>
      </c>
      <c r="K4662" t="n">
        <v>0</v>
      </c>
      <c r="L4662" t="n">
        <v>0</v>
      </c>
      <c r="M4662" t="n">
        <v>0</v>
      </c>
      <c r="N4662" t="n">
        <v>0</v>
      </c>
      <c r="O4662" t="n">
        <v>0</v>
      </c>
      <c r="P4662" t="n">
        <v>0</v>
      </c>
      <c r="Q4662" t="n">
        <v>0</v>
      </c>
      <c r="R4662" s="2" t="inlineStr"/>
    </row>
    <row r="4663" ht="15" customHeight="1">
      <c r="A4663" t="inlineStr">
        <is>
          <t>A 41961-2022</t>
        </is>
      </c>
      <c r="B4663" s="1" t="n">
        <v>44830</v>
      </c>
      <c r="C4663" s="1" t="n">
        <v>45210</v>
      </c>
      <c r="D4663" t="inlineStr">
        <is>
          <t>DALARNAS LÄN</t>
        </is>
      </c>
      <c r="E4663" t="inlineStr">
        <is>
          <t>FALUN</t>
        </is>
      </c>
      <c r="G4663" t="n">
        <v>3.1</v>
      </c>
      <c r="H4663" t="n">
        <v>0</v>
      </c>
      <c r="I4663" t="n">
        <v>0</v>
      </c>
      <c r="J4663" t="n">
        <v>0</v>
      </c>
      <c r="K4663" t="n">
        <v>0</v>
      </c>
      <c r="L4663" t="n">
        <v>0</v>
      </c>
      <c r="M4663" t="n">
        <v>0</v>
      </c>
      <c r="N4663" t="n">
        <v>0</v>
      </c>
      <c r="O4663" t="n">
        <v>0</v>
      </c>
      <c r="P4663" t="n">
        <v>0</v>
      </c>
      <c r="Q4663" t="n">
        <v>0</v>
      </c>
      <c r="R4663" s="2" t="inlineStr"/>
    </row>
    <row r="4664" ht="15" customHeight="1">
      <c r="A4664" t="inlineStr">
        <is>
          <t>A 42035-2022</t>
        </is>
      </c>
      <c r="B4664" s="1" t="n">
        <v>44830</v>
      </c>
      <c r="C4664" s="1" t="n">
        <v>45210</v>
      </c>
      <c r="D4664" t="inlineStr">
        <is>
          <t>DALARNAS LÄN</t>
        </is>
      </c>
      <c r="E4664" t="inlineStr">
        <is>
          <t>MORA</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42140-2022</t>
        </is>
      </c>
      <c r="B4665" s="1" t="n">
        <v>44830</v>
      </c>
      <c r="C4665" s="1" t="n">
        <v>45210</v>
      </c>
      <c r="D4665" t="inlineStr">
        <is>
          <t>DALARNAS LÄN</t>
        </is>
      </c>
      <c r="E4665" t="inlineStr">
        <is>
          <t>LUDVIKA</t>
        </is>
      </c>
      <c r="F4665" t="inlineStr">
        <is>
          <t>Bergvik skog väst AB</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42433-2022</t>
        </is>
      </c>
      <c r="B4666" s="1" t="n">
        <v>44831</v>
      </c>
      <c r="C4666" s="1" t="n">
        <v>45210</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42440-2022</t>
        </is>
      </c>
      <c r="B4667" s="1" t="n">
        <v>44831</v>
      </c>
      <c r="C4667" s="1" t="n">
        <v>45210</v>
      </c>
      <c r="D4667" t="inlineStr">
        <is>
          <t>DALARNAS LÄN</t>
        </is>
      </c>
      <c r="E4667" t="inlineStr">
        <is>
          <t>LUDVIKA</t>
        </is>
      </c>
      <c r="F4667" t="inlineStr">
        <is>
          <t>Bergvik skog väst AB</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42502-2022</t>
        </is>
      </c>
      <c r="B4668" s="1" t="n">
        <v>44831</v>
      </c>
      <c r="C4668" s="1" t="n">
        <v>45210</v>
      </c>
      <c r="D4668" t="inlineStr">
        <is>
          <t>DALARNAS LÄN</t>
        </is>
      </c>
      <c r="E4668" t="inlineStr">
        <is>
          <t>SMEDJEBACKEN</t>
        </is>
      </c>
      <c r="F4668" t="inlineStr">
        <is>
          <t>Sveaskog</t>
        </is>
      </c>
      <c r="G4668" t="n">
        <v>7.8</v>
      </c>
      <c r="H4668" t="n">
        <v>0</v>
      </c>
      <c r="I4668" t="n">
        <v>0</v>
      </c>
      <c r="J4668" t="n">
        <v>0</v>
      </c>
      <c r="K4668" t="n">
        <v>0</v>
      </c>
      <c r="L4668" t="n">
        <v>0</v>
      </c>
      <c r="M4668" t="n">
        <v>0</v>
      </c>
      <c r="N4668" t="n">
        <v>0</v>
      </c>
      <c r="O4668" t="n">
        <v>0</v>
      </c>
      <c r="P4668" t="n">
        <v>0</v>
      </c>
      <c r="Q4668" t="n">
        <v>0</v>
      </c>
      <c r="R4668" s="2" t="inlineStr"/>
    </row>
    <row r="4669" ht="15" customHeight="1">
      <c r="A4669" t="inlineStr">
        <is>
          <t>A 42572-2022</t>
        </is>
      </c>
      <c r="B4669" s="1" t="n">
        <v>44831</v>
      </c>
      <c r="C4669" s="1" t="n">
        <v>45210</v>
      </c>
      <c r="D4669" t="inlineStr">
        <is>
          <t>DALARNAS LÄN</t>
        </is>
      </c>
      <c r="E4669" t="inlineStr">
        <is>
          <t>LUDVIKA</t>
        </is>
      </c>
      <c r="F4669" t="inlineStr">
        <is>
          <t>Bergvik skog väst AB</t>
        </is>
      </c>
      <c r="G4669" t="n">
        <v>9.1</v>
      </c>
      <c r="H4669" t="n">
        <v>0</v>
      </c>
      <c r="I4669" t="n">
        <v>0</v>
      </c>
      <c r="J4669" t="n">
        <v>0</v>
      </c>
      <c r="K4669" t="n">
        <v>0</v>
      </c>
      <c r="L4669" t="n">
        <v>0</v>
      </c>
      <c r="M4669" t="n">
        <v>0</v>
      </c>
      <c r="N4669" t="n">
        <v>0</v>
      </c>
      <c r="O4669" t="n">
        <v>0</v>
      </c>
      <c r="P4669" t="n">
        <v>0</v>
      </c>
      <c r="Q4669" t="n">
        <v>0</v>
      </c>
      <c r="R4669" s="2" t="inlineStr"/>
    </row>
    <row r="4670" ht="15" customHeight="1">
      <c r="A4670" t="inlineStr">
        <is>
          <t>A 42496-2022</t>
        </is>
      </c>
      <c r="B4670" s="1" t="n">
        <v>44831</v>
      </c>
      <c r="C4670" s="1" t="n">
        <v>45210</v>
      </c>
      <c r="D4670" t="inlineStr">
        <is>
          <t>DALARNAS LÄN</t>
        </is>
      </c>
      <c r="E4670" t="inlineStr">
        <is>
          <t>SMEDJEBACKEN</t>
        </is>
      </c>
      <c r="F4670" t="inlineStr">
        <is>
          <t>Sveaskog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42732-2022</t>
        </is>
      </c>
      <c r="B4671" s="1" t="n">
        <v>44832</v>
      </c>
      <c r="C4671" s="1" t="n">
        <v>45210</v>
      </c>
      <c r="D4671" t="inlineStr">
        <is>
          <t>DALARNAS LÄN</t>
        </is>
      </c>
      <c r="E4671" t="inlineStr">
        <is>
          <t>BORLÄNGE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42825-2022</t>
        </is>
      </c>
      <c r="B4672" s="1" t="n">
        <v>44832</v>
      </c>
      <c r="C4672" s="1" t="n">
        <v>45210</v>
      </c>
      <c r="D4672" t="inlineStr">
        <is>
          <t>DALARNAS LÄN</t>
        </is>
      </c>
      <c r="E4672" t="inlineStr">
        <is>
          <t>MALUNG-SÄLEN</t>
        </is>
      </c>
      <c r="F4672" t="inlineStr">
        <is>
          <t>Bergvik skog väst AB</t>
        </is>
      </c>
      <c r="G4672" t="n">
        <v>19.5</v>
      </c>
      <c r="H4672" t="n">
        <v>0</v>
      </c>
      <c r="I4672" t="n">
        <v>0</v>
      </c>
      <c r="J4672" t="n">
        <v>0</v>
      </c>
      <c r="K4672" t="n">
        <v>0</v>
      </c>
      <c r="L4672" t="n">
        <v>0</v>
      </c>
      <c r="M4672" t="n">
        <v>0</v>
      </c>
      <c r="N4672" t="n">
        <v>0</v>
      </c>
      <c r="O4672" t="n">
        <v>0</v>
      </c>
      <c r="P4672" t="n">
        <v>0</v>
      </c>
      <c r="Q4672" t="n">
        <v>0</v>
      </c>
      <c r="R4672" s="2" t="inlineStr"/>
    </row>
    <row r="4673" ht="15" customHeight="1">
      <c r="A4673" t="inlineStr">
        <is>
          <t>A 42814-2022</t>
        </is>
      </c>
      <c r="B4673" s="1" t="n">
        <v>44832</v>
      </c>
      <c r="C4673" s="1" t="n">
        <v>45210</v>
      </c>
      <c r="D4673" t="inlineStr">
        <is>
          <t>DALARNAS LÄN</t>
        </is>
      </c>
      <c r="E4673" t="inlineStr">
        <is>
          <t>MORA</t>
        </is>
      </c>
      <c r="F4673" t="inlineStr">
        <is>
          <t>Bergvik skog väst AB</t>
        </is>
      </c>
      <c r="G4673" t="n">
        <v>5.3</v>
      </c>
      <c r="H4673" t="n">
        <v>0</v>
      </c>
      <c r="I4673" t="n">
        <v>0</v>
      </c>
      <c r="J4673" t="n">
        <v>0</v>
      </c>
      <c r="K4673" t="n">
        <v>0</v>
      </c>
      <c r="L4673" t="n">
        <v>0</v>
      </c>
      <c r="M4673" t="n">
        <v>0</v>
      </c>
      <c r="N4673" t="n">
        <v>0</v>
      </c>
      <c r="O4673" t="n">
        <v>0</v>
      </c>
      <c r="P4673" t="n">
        <v>0</v>
      </c>
      <c r="Q4673" t="n">
        <v>0</v>
      </c>
      <c r="R4673" s="2" t="inlineStr"/>
    </row>
    <row r="4674" ht="15" customHeight="1">
      <c r="A4674" t="inlineStr">
        <is>
          <t>A 42861-2022</t>
        </is>
      </c>
      <c r="B4674" s="1" t="n">
        <v>44832</v>
      </c>
      <c r="C4674" s="1" t="n">
        <v>45210</v>
      </c>
      <c r="D4674" t="inlineStr">
        <is>
          <t>DALARNAS LÄN</t>
        </is>
      </c>
      <c r="E4674" t="inlineStr">
        <is>
          <t>BORLÄNGE</t>
        </is>
      </c>
      <c r="G4674" t="n">
        <v>6.4</v>
      </c>
      <c r="H4674" t="n">
        <v>0</v>
      </c>
      <c r="I4674" t="n">
        <v>0</v>
      </c>
      <c r="J4674" t="n">
        <v>0</v>
      </c>
      <c r="K4674" t="n">
        <v>0</v>
      </c>
      <c r="L4674" t="n">
        <v>0</v>
      </c>
      <c r="M4674" t="n">
        <v>0</v>
      </c>
      <c r="N4674" t="n">
        <v>0</v>
      </c>
      <c r="O4674" t="n">
        <v>0</v>
      </c>
      <c r="P4674" t="n">
        <v>0</v>
      </c>
      <c r="Q4674" t="n">
        <v>0</v>
      </c>
      <c r="R4674" s="2" t="inlineStr"/>
    </row>
    <row r="4675" ht="15" customHeight="1">
      <c r="A4675" t="inlineStr">
        <is>
          <t>A 42744-2022</t>
        </is>
      </c>
      <c r="B4675" s="1" t="n">
        <v>44832</v>
      </c>
      <c r="C4675" s="1" t="n">
        <v>45210</v>
      </c>
      <c r="D4675" t="inlineStr">
        <is>
          <t>DALARNAS LÄN</t>
        </is>
      </c>
      <c r="E4675" t="inlineStr">
        <is>
          <t>SMEDJEBACKEN</t>
        </is>
      </c>
      <c r="G4675" t="n">
        <v>6.8</v>
      </c>
      <c r="H4675" t="n">
        <v>0</v>
      </c>
      <c r="I4675" t="n">
        <v>0</v>
      </c>
      <c r="J4675" t="n">
        <v>0</v>
      </c>
      <c r="K4675" t="n">
        <v>0</v>
      </c>
      <c r="L4675" t="n">
        <v>0</v>
      </c>
      <c r="M4675" t="n">
        <v>0</v>
      </c>
      <c r="N4675" t="n">
        <v>0</v>
      </c>
      <c r="O4675" t="n">
        <v>0</v>
      </c>
      <c r="P4675" t="n">
        <v>0</v>
      </c>
      <c r="Q4675" t="n">
        <v>0</v>
      </c>
      <c r="R4675" s="2" t="inlineStr"/>
    </row>
    <row r="4676" ht="15" customHeight="1">
      <c r="A4676" t="inlineStr">
        <is>
          <t>A 43065-2022</t>
        </is>
      </c>
      <c r="B4676" s="1" t="n">
        <v>44833</v>
      </c>
      <c r="C4676" s="1" t="n">
        <v>45210</v>
      </c>
      <c r="D4676" t="inlineStr">
        <is>
          <t>DALARNAS LÄN</t>
        </is>
      </c>
      <c r="E4676" t="inlineStr">
        <is>
          <t>MALUNG-SÄLEN</t>
        </is>
      </c>
      <c r="F4676" t="inlineStr">
        <is>
          <t>Bergvik skog väst AB</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43008-2022</t>
        </is>
      </c>
      <c r="B4677" s="1" t="n">
        <v>44833</v>
      </c>
      <c r="C4677" s="1" t="n">
        <v>45210</v>
      </c>
      <c r="D4677" t="inlineStr">
        <is>
          <t>DALARNAS LÄN</t>
        </is>
      </c>
      <c r="E4677" t="inlineStr">
        <is>
          <t>LUDVIKA</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43265-2022</t>
        </is>
      </c>
      <c r="B4678" s="1" t="n">
        <v>44834</v>
      </c>
      <c r="C4678" s="1" t="n">
        <v>45210</v>
      </c>
      <c r="D4678" t="inlineStr">
        <is>
          <t>DALARNAS LÄN</t>
        </is>
      </c>
      <c r="E4678" t="inlineStr">
        <is>
          <t>MALUNG-SÄLEN</t>
        </is>
      </c>
      <c r="F4678" t="inlineStr">
        <is>
          <t>Bergvik skog väst AB</t>
        </is>
      </c>
      <c r="G4678" t="n">
        <v>30.5</v>
      </c>
      <c r="H4678" t="n">
        <v>0</v>
      </c>
      <c r="I4678" t="n">
        <v>0</v>
      </c>
      <c r="J4678" t="n">
        <v>0</v>
      </c>
      <c r="K4678" t="n">
        <v>0</v>
      </c>
      <c r="L4678" t="n">
        <v>0</v>
      </c>
      <c r="M4678" t="n">
        <v>0</v>
      </c>
      <c r="N4678" t="n">
        <v>0</v>
      </c>
      <c r="O4678" t="n">
        <v>0</v>
      </c>
      <c r="P4678" t="n">
        <v>0</v>
      </c>
      <c r="Q4678" t="n">
        <v>0</v>
      </c>
      <c r="R4678" s="2" t="inlineStr"/>
    </row>
    <row r="4679" ht="15" customHeight="1">
      <c r="A4679" t="inlineStr">
        <is>
          <t>A 43304-2022</t>
        </is>
      </c>
      <c r="B4679" s="1" t="n">
        <v>44834</v>
      </c>
      <c r="C4679" s="1" t="n">
        <v>45210</v>
      </c>
      <c r="D4679" t="inlineStr">
        <is>
          <t>DALARNAS LÄN</t>
        </is>
      </c>
      <c r="E4679" t="inlineStr">
        <is>
          <t>LEKSAND</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43671-2022</t>
        </is>
      </c>
      <c r="B4680" s="1" t="n">
        <v>44834</v>
      </c>
      <c r="C4680" s="1" t="n">
        <v>45210</v>
      </c>
      <c r="D4680" t="inlineStr">
        <is>
          <t>DALARNAS LÄN</t>
        </is>
      </c>
      <c r="E4680" t="inlineStr">
        <is>
          <t>RÄTTVIK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43377-2022</t>
        </is>
      </c>
      <c r="B4681" s="1" t="n">
        <v>44834</v>
      </c>
      <c r="C4681" s="1" t="n">
        <v>45210</v>
      </c>
      <c r="D4681" t="inlineStr">
        <is>
          <t>DALARNAS LÄN</t>
        </is>
      </c>
      <c r="E4681" t="inlineStr">
        <is>
          <t>FALUN</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43300-2022</t>
        </is>
      </c>
      <c r="B4682" s="1" t="n">
        <v>44834</v>
      </c>
      <c r="C4682" s="1" t="n">
        <v>45210</v>
      </c>
      <c r="D4682" t="inlineStr">
        <is>
          <t>DALARNAS LÄN</t>
        </is>
      </c>
      <c r="E4682" t="inlineStr">
        <is>
          <t>LEKSAND</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43678-2022</t>
        </is>
      </c>
      <c r="B4683" s="1" t="n">
        <v>44834</v>
      </c>
      <c r="C4683" s="1" t="n">
        <v>45210</v>
      </c>
      <c r="D4683" t="inlineStr">
        <is>
          <t>DALARNAS LÄN</t>
        </is>
      </c>
      <c r="E4683" t="inlineStr">
        <is>
          <t>RÄTTVIK</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43639-2022</t>
        </is>
      </c>
      <c r="B4684" s="1" t="n">
        <v>44837</v>
      </c>
      <c r="C4684" s="1" t="n">
        <v>45210</v>
      </c>
      <c r="D4684" t="inlineStr">
        <is>
          <t>DALARNAS LÄN</t>
        </is>
      </c>
      <c r="E4684" t="inlineStr">
        <is>
          <t>BORLÄNGE</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43648-2022</t>
        </is>
      </c>
      <c r="B4685" s="1" t="n">
        <v>44837</v>
      </c>
      <c r="C4685" s="1" t="n">
        <v>45210</v>
      </c>
      <c r="D4685" t="inlineStr">
        <is>
          <t>DALARNAS LÄN</t>
        </is>
      </c>
      <c r="E4685" t="inlineStr">
        <is>
          <t>RÄTTVIK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43981-2022</t>
        </is>
      </c>
      <c r="B4686" s="1" t="n">
        <v>44837</v>
      </c>
      <c r="C4686" s="1" t="n">
        <v>45210</v>
      </c>
      <c r="D4686" t="inlineStr">
        <is>
          <t>DALARNAS LÄN</t>
        </is>
      </c>
      <c r="E4686" t="inlineStr">
        <is>
          <t>MALUNG-SÄLEN</t>
        </is>
      </c>
      <c r="F4686" t="inlineStr">
        <is>
          <t>Kommuner</t>
        </is>
      </c>
      <c r="G4686" t="n">
        <v>2.5</v>
      </c>
      <c r="H4686" t="n">
        <v>0</v>
      </c>
      <c r="I4686" t="n">
        <v>0</v>
      </c>
      <c r="J4686" t="n">
        <v>0</v>
      </c>
      <c r="K4686" t="n">
        <v>0</v>
      </c>
      <c r="L4686" t="n">
        <v>0</v>
      </c>
      <c r="M4686" t="n">
        <v>0</v>
      </c>
      <c r="N4686" t="n">
        <v>0</v>
      </c>
      <c r="O4686" t="n">
        <v>0</v>
      </c>
      <c r="P4686" t="n">
        <v>0</v>
      </c>
      <c r="Q4686" t="n">
        <v>0</v>
      </c>
      <c r="R4686" s="2" t="inlineStr"/>
    </row>
    <row r="4687" ht="15" customHeight="1">
      <c r="A4687" t="inlineStr">
        <is>
          <t>A 43589-2022</t>
        </is>
      </c>
      <c r="B4687" s="1" t="n">
        <v>44837</v>
      </c>
      <c r="C4687" s="1" t="n">
        <v>45210</v>
      </c>
      <c r="D4687" t="inlineStr">
        <is>
          <t>DALARNAS LÄN</t>
        </is>
      </c>
      <c r="E4687" t="inlineStr">
        <is>
          <t>VANSBRO</t>
        </is>
      </c>
      <c r="F4687" t="inlineStr">
        <is>
          <t>Bergvik skog väst AB</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43641-2022</t>
        </is>
      </c>
      <c r="B4688" s="1" t="n">
        <v>44837</v>
      </c>
      <c r="C4688" s="1" t="n">
        <v>45210</v>
      </c>
      <c r="D4688" t="inlineStr">
        <is>
          <t>DALARNAS LÄN</t>
        </is>
      </c>
      <c r="E4688" t="inlineStr">
        <is>
          <t>MORA</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43647-2022</t>
        </is>
      </c>
      <c r="B4689" s="1" t="n">
        <v>44837</v>
      </c>
      <c r="C4689" s="1" t="n">
        <v>45210</v>
      </c>
      <c r="D4689" t="inlineStr">
        <is>
          <t>DALARNAS LÄN</t>
        </is>
      </c>
      <c r="E4689" t="inlineStr">
        <is>
          <t>ÄLVDALEN</t>
        </is>
      </c>
      <c r="F4689" t="inlineStr">
        <is>
          <t>Bergvik skog väst AB</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43662-2022</t>
        </is>
      </c>
      <c r="B4690" s="1" t="n">
        <v>44837</v>
      </c>
      <c r="C4690" s="1" t="n">
        <v>45210</v>
      </c>
      <c r="D4690" t="inlineStr">
        <is>
          <t>DALARNAS LÄN</t>
        </is>
      </c>
      <c r="E4690" t="inlineStr">
        <is>
          <t>BORLÄNGE</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43649-2022</t>
        </is>
      </c>
      <c r="B4691" s="1" t="n">
        <v>44837</v>
      </c>
      <c r="C4691" s="1" t="n">
        <v>45210</v>
      </c>
      <c r="D4691" t="inlineStr">
        <is>
          <t>DALARNAS LÄN</t>
        </is>
      </c>
      <c r="E4691" t="inlineStr">
        <is>
          <t>ÄLVDALEN</t>
        </is>
      </c>
      <c r="F4691" t="inlineStr">
        <is>
          <t>Bergvik skog väst AB</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44033-2022</t>
        </is>
      </c>
      <c r="B4692" s="1" t="n">
        <v>44838</v>
      </c>
      <c r="C4692" s="1" t="n">
        <v>45210</v>
      </c>
      <c r="D4692" t="inlineStr">
        <is>
          <t>DALARNAS LÄN</t>
        </is>
      </c>
      <c r="E4692" t="inlineStr">
        <is>
          <t>ORSA</t>
        </is>
      </c>
      <c r="G4692" t="n">
        <v>5.3</v>
      </c>
      <c r="H4692" t="n">
        <v>0</v>
      </c>
      <c r="I4692" t="n">
        <v>0</v>
      </c>
      <c r="J4692" t="n">
        <v>0</v>
      </c>
      <c r="K4692" t="n">
        <v>0</v>
      </c>
      <c r="L4692" t="n">
        <v>0</v>
      </c>
      <c r="M4692" t="n">
        <v>0</v>
      </c>
      <c r="N4692" t="n">
        <v>0</v>
      </c>
      <c r="O4692" t="n">
        <v>0</v>
      </c>
      <c r="P4692" t="n">
        <v>0</v>
      </c>
      <c r="Q4692" t="n">
        <v>0</v>
      </c>
      <c r="R4692" s="2" t="inlineStr"/>
    </row>
    <row r="4693" ht="15" customHeight="1">
      <c r="A4693" t="inlineStr">
        <is>
          <t>A 43826-2022</t>
        </is>
      </c>
      <c r="B4693" s="1" t="n">
        <v>44838</v>
      </c>
      <c r="C4693" s="1" t="n">
        <v>45210</v>
      </c>
      <c r="D4693" t="inlineStr">
        <is>
          <t>DALARNAS LÄN</t>
        </is>
      </c>
      <c r="E4693" t="inlineStr">
        <is>
          <t>MORA</t>
        </is>
      </c>
      <c r="G4693" t="n">
        <v>9.800000000000001</v>
      </c>
      <c r="H4693" t="n">
        <v>0</v>
      </c>
      <c r="I4693" t="n">
        <v>0</v>
      </c>
      <c r="J4693" t="n">
        <v>0</v>
      </c>
      <c r="K4693" t="n">
        <v>0</v>
      </c>
      <c r="L4693" t="n">
        <v>0</v>
      </c>
      <c r="M4693" t="n">
        <v>0</v>
      </c>
      <c r="N4693" t="n">
        <v>0</v>
      </c>
      <c r="O4693" t="n">
        <v>0</v>
      </c>
      <c r="P4693" t="n">
        <v>0</v>
      </c>
      <c r="Q4693" t="n">
        <v>0</v>
      </c>
      <c r="R4693" s="2" t="inlineStr"/>
    </row>
    <row r="4694" ht="15" customHeight="1">
      <c r="A4694" t="inlineStr">
        <is>
          <t>A 43944-2022</t>
        </is>
      </c>
      <c r="B4694" s="1" t="n">
        <v>44838</v>
      </c>
      <c r="C4694" s="1" t="n">
        <v>45210</v>
      </c>
      <c r="D4694" t="inlineStr">
        <is>
          <t>DALARNAS LÄN</t>
        </is>
      </c>
      <c r="E4694" t="inlineStr">
        <is>
          <t>MORA</t>
        </is>
      </c>
      <c r="F4694" t="inlineStr">
        <is>
          <t>Bergvik skog öst AB</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44141-2022</t>
        </is>
      </c>
      <c r="B4695" s="1" t="n">
        <v>44839</v>
      </c>
      <c r="C4695" s="1" t="n">
        <v>45210</v>
      </c>
      <c r="D4695" t="inlineStr">
        <is>
          <t>DALARNAS LÄN</t>
        </is>
      </c>
      <c r="E4695" t="inlineStr">
        <is>
          <t>AVESTA</t>
        </is>
      </c>
      <c r="G4695" t="n">
        <v>6.6</v>
      </c>
      <c r="H4695" t="n">
        <v>0</v>
      </c>
      <c r="I4695" t="n">
        <v>0</v>
      </c>
      <c r="J4695" t="n">
        <v>0</v>
      </c>
      <c r="K4695" t="n">
        <v>0</v>
      </c>
      <c r="L4695" t="n">
        <v>0</v>
      </c>
      <c r="M4695" t="n">
        <v>0</v>
      </c>
      <c r="N4695" t="n">
        <v>0</v>
      </c>
      <c r="O4695" t="n">
        <v>0</v>
      </c>
      <c r="P4695" t="n">
        <v>0</v>
      </c>
      <c r="Q4695" t="n">
        <v>0</v>
      </c>
      <c r="R4695" s="2" t="inlineStr"/>
    </row>
    <row r="4696" ht="15" customHeight="1">
      <c r="A4696" t="inlineStr">
        <is>
          <t>A 44133-2022</t>
        </is>
      </c>
      <c r="B4696" s="1" t="n">
        <v>44839</v>
      </c>
      <c r="C4696" s="1" t="n">
        <v>45210</v>
      </c>
      <c r="D4696" t="inlineStr">
        <is>
          <t>DALARNAS LÄN</t>
        </is>
      </c>
      <c r="E4696" t="inlineStr">
        <is>
          <t>AVESTA</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44296-2022</t>
        </is>
      </c>
      <c r="B4697" s="1" t="n">
        <v>44839</v>
      </c>
      <c r="C4697" s="1" t="n">
        <v>45210</v>
      </c>
      <c r="D4697" t="inlineStr">
        <is>
          <t>DALARNAS LÄN</t>
        </is>
      </c>
      <c r="E4697" t="inlineStr">
        <is>
          <t>MALUNG-SÄLEN</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44300-2022</t>
        </is>
      </c>
      <c r="B4698" s="1" t="n">
        <v>44839</v>
      </c>
      <c r="C4698" s="1" t="n">
        <v>45210</v>
      </c>
      <c r="D4698" t="inlineStr">
        <is>
          <t>DALARNAS LÄN</t>
        </is>
      </c>
      <c r="E4698" t="inlineStr">
        <is>
          <t>MALUNG-SÄLEN</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44499-2022</t>
        </is>
      </c>
      <c r="B4699" s="1" t="n">
        <v>44840</v>
      </c>
      <c r="C4699" s="1" t="n">
        <v>45210</v>
      </c>
      <c r="D4699" t="inlineStr">
        <is>
          <t>DALARNAS LÄN</t>
        </is>
      </c>
      <c r="E4699" t="inlineStr">
        <is>
          <t>RÄTTVIK</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44644-2022</t>
        </is>
      </c>
      <c r="B4700" s="1" t="n">
        <v>44840</v>
      </c>
      <c r="C4700" s="1" t="n">
        <v>45210</v>
      </c>
      <c r="D4700" t="inlineStr">
        <is>
          <t>DALARNAS LÄN</t>
        </is>
      </c>
      <c r="E4700" t="inlineStr">
        <is>
          <t>VANSBRO</t>
        </is>
      </c>
      <c r="G4700" t="n">
        <v>5.9</v>
      </c>
      <c r="H4700" t="n">
        <v>0</v>
      </c>
      <c r="I4700" t="n">
        <v>0</v>
      </c>
      <c r="J4700" t="n">
        <v>0</v>
      </c>
      <c r="K4700" t="n">
        <v>0</v>
      </c>
      <c r="L4700" t="n">
        <v>0</v>
      </c>
      <c r="M4700" t="n">
        <v>0</v>
      </c>
      <c r="N4700" t="n">
        <v>0</v>
      </c>
      <c r="O4700" t="n">
        <v>0</v>
      </c>
      <c r="P4700" t="n">
        <v>0</v>
      </c>
      <c r="Q4700" t="n">
        <v>0</v>
      </c>
      <c r="R4700" s="2" t="inlineStr"/>
    </row>
    <row r="4701" ht="15" customHeight="1">
      <c r="A4701" t="inlineStr">
        <is>
          <t>A 45174-2022</t>
        </is>
      </c>
      <c r="B4701" s="1" t="n">
        <v>44840</v>
      </c>
      <c r="C4701" s="1" t="n">
        <v>45210</v>
      </c>
      <c r="D4701" t="inlineStr">
        <is>
          <t>DALARNAS LÄN</t>
        </is>
      </c>
      <c r="E4701" t="inlineStr">
        <is>
          <t>SMEDJEBACKEN</t>
        </is>
      </c>
      <c r="F4701" t="inlineStr">
        <is>
          <t>Bergvik skog väst AB</t>
        </is>
      </c>
      <c r="G4701" t="n">
        <v>12.5</v>
      </c>
      <c r="H4701" t="n">
        <v>0</v>
      </c>
      <c r="I4701" t="n">
        <v>0</v>
      </c>
      <c r="J4701" t="n">
        <v>0</v>
      </c>
      <c r="K4701" t="n">
        <v>0</v>
      </c>
      <c r="L4701" t="n">
        <v>0</v>
      </c>
      <c r="M4701" t="n">
        <v>0</v>
      </c>
      <c r="N4701" t="n">
        <v>0</v>
      </c>
      <c r="O4701" t="n">
        <v>0</v>
      </c>
      <c r="P4701" t="n">
        <v>0</v>
      </c>
      <c r="Q4701" t="n">
        <v>0</v>
      </c>
      <c r="R4701" s="2" t="inlineStr"/>
    </row>
    <row r="4702" ht="15" customHeight="1">
      <c r="A4702" t="inlineStr">
        <is>
          <t>A 45225-2022</t>
        </is>
      </c>
      <c r="B4702" s="1" t="n">
        <v>44840</v>
      </c>
      <c r="C4702" s="1" t="n">
        <v>45210</v>
      </c>
      <c r="D4702" t="inlineStr">
        <is>
          <t>DALARNAS LÄN</t>
        </is>
      </c>
      <c r="E4702" t="inlineStr">
        <is>
          <t>SÄTER</t>
        </is>
      </c>
      <c r="F4702" t="inlineStr">
        <is>
          <t>Bergvik skog väst AB</t>
        </is>
      </c>
      <c r="G4702" t="n">
        <v>10.2</v>
      </c>
      <c r="H4702" t="n">
        <v>0</v>
      </c>
      <c r="I4702" t="n">
        <v>0</v>
      </c>
      <c r="J4702" t="n">
        <v>0</v>
      </c>
      <c r="K4702" t="n">
        <v>0</v>
      </c>
      <c r="L4702" t="n">
        <v>0</v>
      </c>
      <c r="M4702" t="n">
        <v>0</v>
      </c>
      <c r="N4702" t="n">
        <v>0</v>
      </c>
      <c r="O4702" t="n">
        <v>0</v>
      </c>
      <c r="P4702" t="n">
        <v>0</v>
      </c>
      <c r="Q4702" t="n">
        <v>0</v>
      </c>
      <c r="R4702" s="2" t="inlineStr"/>
    </row>
    <row r="4703" ht="15" customHeight="1">
      <c r="A4703" t="inlineStr">
        <is>
          <t>A 44612-2022</t>
        </is>
      </c>
      <c r="B4703" s="1" t="n">
        <v>44840</v>
      </c>
      <c r="C4703" s="1" t="n">
        <v>45210</v>
      </c>
      <c r="D4703" t="inlineStr">
        <is>
          <t>DALARNAS LÄN</t>
        </is>
      </c>
      <c r="E4703" t="inlineStr">
        <is>
          <t>MALUNG-SÄLEN</t>
        </is>
      </c>
      <c r="G4703" t="n">
        <v>12.4</v>
      </c>
      <c r="H4703" t="n">
        <v>0</v>
      </c>
      <c r="I4703" t="n">
        <v>0</v>
      </c>
      <c r="J4703" t="n">
        <v>0</v>
      </c>
      <c r="K4703" t="n">
        <v>0</v>
      </c>
      <c r="L4703" t="n">
        <v>0</v>
      </c>
      <c r="M4703" t="n">
        <v>0</v>
      </c>
      <c r="N4703" t="n">
        <v>0</v>
      </c>
      <c r="O4703" t="n">
        <v>0</v>
      </c>
      <c r="P4703" t="n">
        <v>0</v>
      </c>
      <c r="Q4703" t="n">
        <v>0</v>
      </c>
      <c r="R4703" s="2" t="inlineStr"/>
    </row>
    <row r="4704" ht="15" customHeight="1">
      <c r="A4704" t="inlineStr">
        <is>
          <t>A 45018-2022</t>
        </is>
      </c>
      <c r="B4704" s="1" t="n">
        <v>44840</v>
      </c>
      <c r="C4704" s="1" t="n">
        <v>45210</v>
      </c>
      <c r="D4704" t="inlineStr">
        <is>
          <t>DALARNAS LÄN</t>
        </is>
      </c>
      <c r="E4704" t="inlineStr">
        <is>
          <t>SMEDJEBACKEN</t>
        </is>
      </c>
      <c r="F4704" t="inlineStr">
        <is>
          <t>Bergvik skog väst AB</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45210-2022</t>
        </is>
      </c>
      <c r="B4705" s="1" t="n">
        <v>44840</v>
      </c>
      <c r="C4705" s="1" t="n">
        <v>45210</v>
      </c>
      <c r="D4705" t="inlineStr">
        <is>
          <t>DALARNAS LÄN</t>
        </is>
      </c>
      <c r="E4705" t="inlineStr">
        <is>
          <t>SMEDJEBACKEN</t>
        </is>
      </c>
      <c r="F4705" t="inlineStr">
        <is>
          <t>Bergvik skog väst AB</t>
        </is>
      </c>
      <c r="G4705" t="n">
        <v>22.7</v>
      </c>
      <c r="H4705" t="n">
        <v>0</v>
      </c>
      <c r="I4705" t="n">
        <v>0</v>
      </c>
      <c r="J4705" t="n">
        <v>0</v>
      </c>
      <c r="K4705" t="n">
        <v>0</v>
      </c>
      <c r="L4705" t="n">
        <v>0</v>
      </c>
      <c r="M4705" t="n">
        <v>0</v>
      </c>
      <c r="N4705" t="n">
        <v>0</v>
      </c>
      <c r="O4705" t="n">
        <v>0</v>
      </c>
      <c r="P4705" t="n">
        <v>0</v>
      </c>
      <c r="Q4705" t="n">
        <v>0</v>
      </c>
      <c r="R4705" s="2" t="inlineStr"/>
    </row>
    <row r="4706" ht="15" customHeight="1">
      <c r="A4706" t="inlineStr">
        <is>
          <t>A 44614-2022</t>
        </is>
      </c>
      <c r="B4706" s="1" t="n">
        <v>44840</v>
      </c>
      <c r="C4706" s="1" t="n">
        <v>45210</v>
      </c>
      <c r="D4706" t="inlineStr">
        <is>
          <t>DALARNAS LÄN</t>
        </is>
      </c>
      <c r="E4706" t="inlineStr">
        <is>
          <t>MALUNG-SÄLEN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44702-2022</t>
        </is>
      </c>
      <c r="B4707" s="1" t="n">
        <v>44840</v>
      </c>
      <c r="C4707" s="1" t="n">
        <v>45210</v>
      </c>
      <c r="D4707" t="inlineStr">
        <is>
          <t>DALARNAS LÄN</t>
        </is>
      </c>
      <c r="E4707" t="inlineStr">
        <is>
          <t>SMEDJEBACKEN</t>
        </is>
      </c>
      <c r="G4707" t="n">
        <v>4.9</v>
      </c>
      <c r="H4707" t="n">
        <v>0</v>
      </c>
      <c r="I4707" t="n">
        <v>0</v>
      </c>
      <c r="J4707" t="n">
        <v>0</v>
      </c>
      <c r="K4707" t="n">
        <v>0</v>
      </c>
      <c r="L4707" t="n">
        <v>0</v>
      </c>
      <c r="M4707" t="n">
        <v>0</v>
      </c>
      <c r="N4707" t="n">
        <v>0</v>
      </c>
      <c r="O4707" t="n">
        <v>0</v>
      </c>
      <c r="P4707" t="n">
        <v>0</v>
      </c>
      <c r="Q4707" t="n">
        <v>0</v>
      </c>
      <c r="R4707" s="2" t="inlineStr"/>
    </row>
    <row r="4708" ht="15" customHeight="1">
      <c r="A4708" t="inlineStr">
        <is>
          <t>A 44985-2022</t>
        </is>
      </c>
      <c r="B4708" s="1" t="n">
        <v>44841</v>
      </c>
      <c r="C4708" s="1" t="n">
        <v>45210</v>
      </c>
      <c r="D4708" t="inlineStr">
        <is>
          <t>DALARNAS LÄN</t>
        </is>
      </c>
      <c r="E4708" t="inlineStr">
        <is>
          <t>RÄTTVIK</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44864-2022</t>
        </is>
      </c>
      <c r="B4709" s="1" t="n">
        <v>44841</v>
      </c>
      <c r="C4709" s="1" t="n">
        <v>45210</v>
      </c>
      <c r="D4709" t="inlineStr">
        <is>
          <t>DALARNAS LÄN</t>
        </is>
      </c>
      <c r="E4709" t="inlineStr">
        <is>
          <t>VANSBRO</t>
        </is>
      </c>
      <c r="F4709" t="inlineStr">
        <is>
          <t>Bergvik skog öst AB</t>
        </is>
      </c>
      <c r="G4709" t="n">
        <v>4.6</v>
      </c>
      <c r="H4709" t="n">
        <v>0</v>
      </c>
      <c r="I4709" t="n">
        <v>0</v>
      </c>
      <c r="J4709" t="n">
        <v>0</v>
      </c>
      <c r="K4709" t="n">
        <v>0</v>
      </c>
      <c r="L4709" t="n">
        <v>0</v>
      </c>
      <c r="M4709" t="n">
        <v>0</v>
      </c>
      <c r="N4709" t="n">
        <v>0</v>
      </c>
      <c r="O4709" t="n">
        <v>0</v>
      </c>
      <c r="P4709" t="n">
        <v>0</v>
      </c>
      <c r="Q4709" t="n">
        <v>0</v>
      </c>
      <c r="R4709" s="2" t="inlineStr"/>
    </row>
    <row r="4710" ht="15" customHeight="1">
      <c r="A4710" t="inlineStr">
        <is>
          <t>A 44904-2022</t>
        </is>
      </c>
      <c r="B4710" s="1" t="n">
        <v>44841</v>
      </c>
      <c r="C4710" s="1" t="n">
        <v>45210</v>
      </c>
      <c r="D4710" t="inlineStr">
        <is>
          <t>DALARNAS LÄN</t>
        </is>
      </c>
      <c r="E4710" t="inlineStr">
        <is>
          <t>MALUNG-SÄLEN</t>
        </is>
      </c>
      <c r="F4710" t="inlineStr">
        <is>
          <t>Bergvik skog väst AB</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45511-2022</t>
        </is>
      </c>
      <c r="B4711" s="1" t="n">
        <v>44841</v>
      </c>
      <c r="C4711" s="1" t="n">
        <v>45210</v>
      </c>
      <c r="D4711" t="inlineStr">
        <is>
          <t>DALARNAS LÄN</t>
        </is>
      </c>
      <c r="E4711" t="inlineStr">
        <is>
          <t>MALUNG-SÄLEN</t>
        </is>
      </c>
      <c r="F4711" t="inlineStr">
        <is>
          <t>Allmännings- och besparingsskogar</t>
        </is>
      </c>
      <c r="G4711" t="n">
        <v>17.3</v>
      </c>
      <c r="H4711" t="n">
        <v>0</v>
      </c>
      <c r="I4711" t="n">
        <v>0</v>
      </c>
      <c r="J4711" t="n">
        <v>0</v>
      </c>
      <c r="K4711" t="n">
        <v>0</v>
      </c>
      <c r="L4711" t="n">
        <v>0</v>
      </c>
      <c r="M4711" t="n">
        <v>0</v>
      </c>
      <c r="N4711" t="n">
        <v>0</v>
      </c>
      <c r="O4711" t="n">
        <v>0</v>
      </c>
      <c r="P4711" t="n">
        <v>0</v>
      </c>
      <c r="Q4711" t="n">
        <v>0</v>
      </c>
      <c r="R4711" s="2" t="inlineStr"/>
    </row>
    <row r="4712" ht="15" customHeight="1">
      <c r="A4712" t="inlineStr">
        <is>
          <t>A 45032-2022</t>
        </is>
      </c>
      <c r="B4712" s="1" t="n">
        <v>44841</v>
      </c>
      <c r="C4712" s="1" t="n">
        <v>45210</v>
      </c>
      <c r="D4712" t="inlineStr">
        <is>
          <t>DALARNAS LÄN</t>
        </is>
      </c>
      <c r="E4712" t="inlineStr">
        <is>
          <t>GAGNEF</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45504-2022</t>
        </is>
      </c>
      <c r="B4713" s="1" t="n">
        <v>44841</v>
      </c>
      <c r="C4713" s="1" t="n">
        <v>45210</v>
      </c>
      <c r="D4713" t="inlineStr">
        <is>
          <t>DALARNAS LÄN</t>
        </is>
      </c>
      <c r="E4713" t="inlineStr">
        <is>
          <t>RÄTTVIK</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44875-2022</t>
        </is>
      </c>
      <c r="B4714" s="1" t="n">
        <v>44841</v>
      </c>
      <c r="C4714" s="1" t="n">
        <v>45210</v>
      </c>
      <c r="D4714" t="inlineStr">
        <is>
          <t>DALARNAS LÄN</t>
        </is>
      </c>
      <c r="E4714" t="inlineStr">
        <is>
          <t>GAGNEF</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45034-2022</t>
        </is>
      </c>
      <c r="B4715" s="1" t="n">
        <v>44841</v>
      </c>
      <c r="C4715" s="1" t="n">
        <v>45210</v>
      </c>
      <c r="D4715" t="inlineStr">
        <is>
          <t>DALARNAS LÄN</t>
        </is>
      </c>
      <c r="E4715" t="inlineStr">
        <is>
          <t>GAGNEF</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45472-2022</t>
        </is>
      </c>
      <c r="B4716" s="1" t="n">
        <v>44841</v>
      </c>
      <c r="C4716" s="1" t="n">
        <v>45210</v>
      </c>
      <c r="D4716" t="inlineStr">
        <is>
          <t>DALARNAS LÄN</t>
        </is>
      </c>
      <c r="E4716" t="inlineStr">
        <is>
          <t>RÄTTVIK</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45091-2022</t>
        </is>
      </c>
      <c r="B4717" s="1" t="n">
        <v>44842</v>
      </c>
      <c r="C4717" s="1" t="n">
        <v>45210</v>
      </c>
      <c r="D4717" t="inlineStr">
        <is>
          <t>DALARNAS LÄN</t>
        </is>
      </c>
      <c r="E4717" t="inlineStr">
        <is>
          <t>SMEDJEBACKEN</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45235-2022</t>
        </is>
      </c>
      <c r="B4718" s="1" t="n">
        <v>44844</v>
      </c>
      <c r="C4718" s="1" t="n">
        <v>45210</v>
      </c>
      <c r="D4718" t="inlineStr">
        <is>
          <t>DALARNAS LÄN</t>
        </is>
      </c>
      <c r="E4718" t="inlineStr">
        <is>
          <t>LUDVIKA</t>
        </is>
      </c>
      <c r="F4718" t="inlineStr">
        <is>
          <t>Naturvårdsverket</t>
        </is>
      </c>
      <c r="G4718" t="n">
        <v>4.1</v>
      </c>
      <c r="H4718" t="n">
        <v>0</v>
      </c>
      <c r="I4718" t="n">
        <v>0</v>
      </c>
      <c r="J4718" t="n">
        <v>0</v>
      </c>
      <c r="K4718" t="n">
        <v>0</v>
      </c>
      <c r="L4718" t="n">
        <v>0</v>
      </c>
      <c r="M4718" t="n">
        <v>0</v>
      </c>
      <c r="N4718" t="n">
        <v>0</v>
      </c>
      <c r="O4718" t="n">
        <v>0</v>
      </c>
      <c r="P4718" t="n">
        <v>0</v>
      </c>
      <c r="Q4718" t="n">
        <v>0</v>
      </c>
      <c r="R4718" s="2" t="inlineStr"/>
    </row>
    <row r="4719" ht="15" customHeight="1">
      <c r="A4719" t="inlineStr">
        <is>
          <t>A 45167-2022</t>
        </is>
      </c>
      <c r="B4719" s="1" t="n">
        <v>44844</v>
      </c>
      <c r="C4719" s="1" t="n">
        <v>45210</v>
      </c>
      <c r="D4719" t="inlineStr">
        <is>
          <t>DALARNAS LÄN</t>
        </is>
      </c>
      <c r="E4719" t="inlineStr">
        <is>
          <t>ÄLVDALEN</t>
        </is>
      </c>
      <c r="G4719" t="n">
        <v>1.2</v>
      </c>
      <c r="H4719" t="n">
        <v>0</v>
      </c>
      <c r="I4719" t="n">
        <v>0</v>
      </c>
      <c r="J4719" t="n">
        <v>0</v>
      </c>
      <c r="K4719" t="n">
        <v>0</v>
      </c>
      <c r="L4719" t="n">
        <v>0</v>
      </c>
      <c r="M4719" t="n">
        <v>0</v>
      </c>
      <c r="N4719" t="n">
        <v>0</v>
      </c>
      <c r="O4719" t="n">
        <v>0</v>
      </c>
      <c r="P4719" t="n">
        <v>0</v>
      </c>
      <c r="Q4719" t="n">
        <v>0</v>
      </c>
      <c r="R4719" s="2" t="inlineStr"/>
    </row>
    <row r="4720" ht="15" customHeight="1">
      <c r="A4720" t="inlineStr">
        <is>
          <t>A 45272-2022</t>
        </is>
      </c>
      <c r="B4720" s="1" t="n">
        <v>44844</v>
      </c>
      <c r="C4720" s="1" t="n">
        <v>45210</v>
      </c>
      <c r="D4720" t="inlineStr">
        <is>
          <t>DALARNAS LÄN</t>
        </is>
      </c>
      <c r="E4720" t="inlineStr">
        <is>
          <t>ORSA</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45165-2022</t>
        </is>
      </c>
      <c r="B4721" s="1" t="n">
        <v>44844</v>
      </c>
      <c r="C4721" s="1" t="n">
        <v>45210</v>
      </c>
      <c r="D4721" t="inlineStr">
        <is>
          <t>DALARNAS LÄN</t>
        </is>
      </c>
      <c r="E4721" t="inlineStr">
        <is>
          <t>ÄLVDALEN</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45179-2022</t>
        </is>
      </c>
      <c r="B4722" s="1" t="n">
        <v>44844</v>
      </c>
      <c r="C4722" s="1" t="n">
        <v>45210</v>
      </c>
      <c r="D4722" t="inlineStr">
        <is>
          <t>DALARNAS LÄN</t>
        </is>
      </c>
      <c r="E4722" t="inlineStr">
        <is>
          <t>LUDVIKA</t>
        </is>
      </c>
      <c r="F4722" t="inlineStr">
        <is>
          <t>Naturvårdsverket</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45227-2022</t>
        </is>
      </c>
      <c r="B4723" s="1" t="n">
        <v>44844</v>
      </c>
      <c r="C4723" s="1" t="n">
        <v>45210</v>
      </c>
      <c r="D4723" t="inlineStr">
        <is>
          <t>DALARNAS LÄN</t>
        </is>
      </c>
      <c r="E4723" t="inlineStr">
        <is>
          <t>ÄLVDALEN</t>
        </is>
      </c>
      <c r="F4723" t="inlineStr">
        <is>
          <t>Bergvik skog väst AB</t>
        </is>
      </c>
      <c r="G4723" t="n">
        <v>22.3</v>
      </c>
      <c r="H4723" t="n">
        <v>0</v>
      </c>
      <c r="I4723" t="n">
        <v>0</v>
      </c>
      <c r="J4723" t="n">
        <v>0</v>
      </c>
      <c r="K4723" t="n">
        <v>0</v>
      </c>
      <c r="L4723" t="n">
        <v>0</v>
      </c>
      <c r="M4723" t="n">
        <v>0</v>
      </c>
      <c r="N4723" t="n">
        <v>0</v>
      </c>
      <c r="O4723" t="n">
        <v>0</v>
      </c>
      <c r="P4723" t="n">
        <v>0</v>
      </c>
      <c r="Q4723" t="n">
        <v>0</v>
      </c>
      <c r="R4723" s="2" t="inlineStr"/>
    </row>
    <row r="4724" ht="15" customHeight="1">
      <c r="A4724" t="inlineStr">
        <is>
          <t>A 45276-2022</t>
        </is>
      </c>
      <c r="B4724" s="1" t="n">
        <v>44844</v>
      </c>
      <c r="C4724" s="1" t="n">
        <v>45210</v>
      </c>
      <c r="D4724" t="inlineStr">
        <is>
          <t>DALARNAS LÄN</t>
        </is>
      </c>
      <c r="E4724" t="inlineStr">
        <is>
          <t>HEDEMORA</t>
        </is>
      </c>
      <c r="F4724" t="inlineStr">
        <is>
          <t>Sveaskog</t>
        </is>
      </c>
      <c r="G4724" t="n">
        <v>13.7</v>
      </c>
      <c r="H4724" t="n">
        <v>0</v>
      </c>
      <c r="I4724" t="n">
        <v>0</v>
      </c>
      <c r="J4724" t="n">
        <v>0</v>
      </c>
      <c r="K4724" t="n">
        <v>0</v>
      </c>
      <c r="L4724" t="n">
        <v>0</v>
      </c>
      <c r="M4724" t="n">
        <v>0</v>
      </c>
      <c r="N4724" t="n">
        <v>0</v>
      </c>
      <c r="O4724" t="n">
        <v>0</v>
      </c>
      <c r="P4724" t="n">
        <v>0</v>
      </c>
      <c r="Q4724" t="n">
        <v>0</v>
      </c>
      <c r="R4724" s="2" t="inlineStr"/>
    </row>
    <row r="4725" ht="15" customHeight="1">
      <c r="A4725" t="inlineStr">
        <is>
          <t>A 45478-2022</t>
        </is>
      </c>
      <c r="B4725" s="1" t="n">
        <v>44845</v>
      </c>
      <c r="C4725" s="1" t="n">
        <v>45210</v>
      </c>
      <c r="D4725" t="inlineStr">
        <is>
          <t>DALARNAS LÄN</t>
        </is>
      </c>
      <c r="E4725" t="inlineStr">
        <is>
          <t>SMEDJEBACKEN</t>
        </is>
      </c>
      <c r="G4725" t="n">
        <v>1</v>
      </c>
      <c r="H4725" t="n">
        <v>0</v>
      </c>
      <c r="I4725" t="n">
        <v>0</v>
      </c>
      <c r="J4725" t="n">
        <v>0</v>
      </c>
      <c r="K4725" t="n">
        <v>0</v>
      </c>
      <c r="L4725" t="n">
        <v>0</v>
      </c>
      <c r="M4725" t="n">
        <v>0</v>
      </c>
      <c r="N4725" t="n">
        <v>0</v>
      </c>
      <c r="O4725" t="n">
        <v>0</v>
      </c>
      <c r="P4725" t="n">
        <v>0</v>
      </c>
      <c r="Q4725" t="n">
        <v>0</v>
      </c>
      <c r="R4725" s="2" t="inlineStr"/>
    </row>
    <row r="4726" ht="15" customHeight="1">
      <c r="A4726" t="inlineStr">
        <is>
          <t>A 45465-2022</t>
        </is>
      </c>
      <c r="B4726" s="1" t="n">
        <v>44845</v>
      </c>
      <c r="C4726" s="1" t="n">
        <v>45210</v>
      </c>
      <c r="D4726" t="inlineStr">
        <is>
          <t>DALARNAS LÄN</t>
        </is>
      </c>
      <c r="E4726" t="inlineStr">
        <is>
          <t>MORA</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45529-2022</t>
        </is>
      </c>
      <c r="B4727" s="1" t="n">
        <v>44845</v>
      </c>
      <c r="C4727" s="1" t="n">
        <v>45210</v>
      </c>
      <c r="D4727" t="inlineStr">
        <is>
          <t>DALARNAS LÄN</t>
        </is>
      </c>
      <c r="E4727" t="inlineStr">
        <is>
          <t>SMEDJEBACKEN</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45783-2022</t>
        </is>
      </c>
      <c r="B4728" s="1" t="n">
        <v>44846</v>
      </c>
      <c r="C4728" s="1" t="n">
        <v>45210</v>
      </c>
      <c r="D4728" t="inlineStr">
        <is>
          <t>DALARNAS LÄN</t>
        </is>
      </c>
      <c r="E4728" t="inlineStr">
        <is>
          <t>ÄLVDALEN</t>
        </is>
      </c>
      <c r="G4728" t="n">
        <v>9.1</v>
      </c>
      <c r="H4728" t="n">
        <v>0</v>
      </c>
      <c r="I4728" t="n">
        <v>0</v>
      </c>
      <c r="J4728" t="n">
        <v>0</v>
      </c>
      <c r="K4728" t="n">
        <v>0</v>
      </c>
      <c r="L4728" t="n">
        <v>0</v>
      </c>
      <c r="M4728" t="n">
        <v>0</v>
      </c>
      <c r="N4728" t="n">
        <v>0</v>
      </c>
      <c r="O4728" t="n">
        <v>0</v>
      </c>
      <c r="P4728" t="n">
        <v>0</v>
      </c>
      <c r="Q4728" t="n">
        <v>0</v>
      </c>
      <c r="R4728" s="2" t="inlineStr"/>
    </row>
    <row r="4729" ht="15" customHeight="1">
      <c r="A4729" t="inlineStr">
        <is>
          <t>A 46141-2022</t>
        </is>
      </c>
      <c r="B4729" s="1" t="n">
        <v>44846</v>
      </c>
      <c r="C4729" s="1" t="n">
        <v>45210</v>
      </c>
      <c r="D4729" t="inlineStr">
        <is>
          <t>DALARNAS LÄN</t>
        </is>
      </c>
      <c r="E4729" t="inlineStr">
        <is>
          <t>LEKSAND</t>
        </is>
      </c>
      <c r="G4729" t="n">
        <v>2.8</v>
      </c>
      <c r="H4729" t="n">
        <v>0</v>
      </c>
      <c r="I4729" t="n">
        <v>0</v>
      </c>
      <c r="J4729" t="n">
        <v>0</v>
      </c>
      <c r="K4729" t="n">
        <v>0</v>
      </c>
      <c r="L4729" t="n">
        <v>0</v>
      </c>
      <c r="M4729" t="n">
        <v>0</v>
      </c>
      <c r="N4729" t="n">
        <v>0</v>
      </c>
      <c r="O4729" t="n">
        <v>0</v>
      </c>
      <c r="P4729" t="n">
        <v>0</v>
      </c>
      <c r="Q4729" t="n">
        <v>0</v>
      </c>
      <c r="R4729" s="2" t="inlineStr"/>
    </row>
    <row r="4730" ht="15" customHeight="1">
      <c r="A4730" t="inlineStr">
        <is>
          <t>A 45935-2022</t>
        </is>
      </c>
      <c r="B4730" s="1" t="n">
        <v>44846</v>
      </c>
      <c r="C4730" s="1" t="n">
        <v>45210</v>
      </c>
      <c r="D4730" t="inlineStr">
        <is>
          <t>DALARNAS LÄN</t>
        </is>
      </c>
      <c r="E4730" t="inlineStr">
        <is>
          <t>SÄTER</t>
        </is>
      </c>
      <c r="G4730" t="n">
        <v>8.5</v>
      </c>
      <c r="H4730" t="n">
        <v>0</v>
      </c>
      <c r="I4730" t="n">
        <v>0</v>
      </c>
      <c r="J4730" t="n">
        <v>0</v>
      </c>
      <c r="K4730" t="n">
        <v>0</v>
      </c>
      <c r="L4730" t="n">
        <v>0</v>
      </c>
      <c r="M4730" t="n">
        <v>0</v>
      </c>
      <c r="N4730" t="n">
        <v>0</v>
      </c>
      <c r="O4730" t="n">
        <v>0</v>
      </c>
      <c r="P4730" t="n">
        <v>0</v>
      </c>
      <c r="Q4730" t="n">
        <v>0</v>
      </c>
      <c r="R4730" s="2" t="inlineStr"/>
    </row>
    <row r="4731" ht="15" customHeight="1">
      <c r="A4731" t="inlineStr">
        <is>
          <t>A 45785-2022</t>
        </is>
      </c>
      <c r="B4731" s="1" t="n">
        <v>44846</v>
      </c>
      <c r="C4731" s="1" t="n">
        <v>45210</v>
      </c>
      <c r="D4731" t="inlineStr">
        <is>
          <t>DALARNAS LÄN</t>
        </is>
      </c>
      <c r="E4731" t="inlineStr">
        <is>
          <t>ÄLVDALEN</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46060-2022</t>
        </is>
      </c>
      <c r="B4732" s="1" t="n">
        <v>44847</v>
      </c>
      <c r="C4732" s="1" t="n">
        <v>45210</v>
      </c>
      <c r="D4732" t="inlineStr">
        <is>
          <t>DALARNAS LÄN</t>
        </is>
      </c>
      <c r="E4732" t="inlineStr">
        <is>
          <t>RÄTTVIK</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46169-2022</t>
        </is>
      </c>
      <c r="B4733" s="1" t="n">
        <v>44847</v>
      </c>
      <c r="C4733" s="1" t="n">
        <v>45210</v>
      </c>
      <c r="D4733" t="inlineStr">
        <is>
          <t>DALARNAS LÄN</t>
        </is>
      </c>
      <c r="E4733" t="inlineStr">
        <is>
          <t>MALUNG-SÄLEN</t>
        </is>
      </c>
      <c r="F4733" t="inlineStr">
        <is>
          <t>Allmännings- och besparingsskogar</t>
        </is>
      </c>
      <c r="G4733" t="n">
        <v>6</v>
      </c>
      <c r="H4733" t="n">
        <v>0</v>
      </c>
      <c r="I4733" t="n">
        <v>0</v>
      </c>
      <c r="J4733" t="n">
        <v>0</v>
      </c>
      <c r="K4733" t="n">
        <v>0</v>
      </c>
      <c r="L4733" t="n">
        <v>0</v>
      </c>
      <c r="M4733" t="n">
        <v>0</v>
      </c>
      <c r="N4733" t="n">
        <v>0</v>
      </c>
      <c r="O4733" t="n">
        <v>0</v>
      </c>
      <c r="P4733" t="n">
        <v>0</v>
      </c>
      <c r="Q4733" t="n">
        <v>0</v>
      </c>
      <c r="R4733" s="2" t="inlineStr"/>
    </row>
    <row r="4734" ht="15" customHeight="1">
      <c r="A4734" t="inlineStr">
        <is>
          <t>A 46402-2022</t>
        </is>
      </c>
      <c r="B4734" s="1" t="n">
        <v>44848</v>
      </c>
      <c r="C4734" s="1" t="n">
        <v>45210</v>
      </c>
      <c r="D4734" t="inlineStr">
        <is>
          <t>DALARNAS LÄN</t>
        </is>
      </c>
      <c r="E4734" t="inlineStr">
        <is>
          <t>MORA</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46878-2022</t>
        </is>
      </c>
      <c r="B4735" s="1" t="n">
        <v>44848</v>
      </c>
      <c r="C4735" s="1" t="n">
        <v>45210</v>
      </c>
      <c r="D4735" t="inlineStr">
        <is>
          <t>DALARNAS LÄN</t>
        </is>
      </c>
      <c r="E4735" t="inlineStr">
        <is>
          <t>LUDVIKA</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46866-2022</t>
        </is>
      </c>
      <c r="B4736" s="1" t="n">
        <v>44851</v>
      </c>
      <c r="C4736" s="1" t="n">
        <v>45210</v>
      </c>
      <c r="D4736" t="inlineStr">
        <is>
          <t>DALARNAS LÄN</t>
        </is>
      </c>
      <c r="E4736" t="inlineStr">
        <is>
          <t>VANSBRO</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46672-2022</t>
        </is>
      </c>
      <c r="B4737" s="1" t="n">
        <v>44851</v>
      </c>
      <c r="C4737" s="1" t="n">
        <v>45210</v>
      </c>
      <c r="D4737" t="inlineStr">
        <is>
          <t>DALARNAS LÄN</t>
        </is>
      </c>
      <c r="E4737" t="inlineStr">
        <is>
          <t>LEKSAND</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46740-2022</t>
        </is>
      </c>
      <c r="B4738" s="1" t="n">
        <v>44851</v>
      </c>
      <c r="C4738" s="1" t="n">
        <v>45210</v>
      </c>
      <c r="D4738" t="inlineStr">
        <is>
          <t>DALARNAS LÄN</t>
        </is>
      </c>
      <c r="E4738" t="inlineStr">
        <is>
          <t>FALUN</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46801-2022</t>
        </is>
      </c>
      <c r="B4739" s="1" t="n">
        <v>44851</v>
      </c>
      <c r="C4739" s="1" t="n">
        <v>45210</v>
      </c>
      <c r="D4739" t="inlineStr">
        <is>
          <t>DALARNAS LÄN</t>
        </is>
      </c>
      <c r="E4739" t="inlineStr">
        <is>
          <t>MORA</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46874-2022</t>
        </is>
      </c>
      <c r="B4740" s="1" t="n">
        <v>44851</v>
      </c>
      <c r="C4740" s="1" t="n">
        <v>45210</v>
      </c>
      <c r="D4740" t="inlineStr">
        <is>
          <t>DALARNAS LÄN</t>
        </is>
      </c>
      <c r="E4740" t="inlineStr">
        <is>
          <t>VANSBRO</t>
        </is>
      </c>
      <c r="G4740" t="n">
        <v>1.7</v>
      </c>
      <c r="H4740" t="n">
        <v>0</v>
      </c>
      <c r="I4740" t="n">
        <v>0</v>
      </c>
      <c r="J4740" t="n">
        <v>0</v>
      </c>
      <c r="K4740" t="n">
        <v>0</v>
      </c>
      <c r="L4740" t="n">
        <v>0</v>
      </c>
      <c r="M4740" t="n">
        <v>0</v>
      </c>
      <c r="N4740" t="n">
        <v>0</v>
      </c>
      <c r="O4740" t="n">
        <v>0</v>
      </c>
      <c r="P4740" t="n">
        <v>0</v>
      </c>
      <c r="Q4740" t="n">
        <v>0</v>
      </c>
      <c r="R4740" s="2" t="inlineStr"/>
    </row>
    <row r="4741" ht="15" customHeight="1">
      <c r="A4741" t="inlineStr">
        <is>
          <t>A 46910-2022</t>
        </is>
      </c>
      <c r="B4741" s="1" t="n">
        <v>44851</v>
      </c>
      <c r="C4741" s="1" t="n">
        <v>45210</v>
      </c>
      <c r="D4741" t="inlineStr">
        <is>
          <t>DALARNAS LÄN</t>
        </is>
      </c>
      <c r="E4741" t="inlineStr">
        <is>
          <t>MALUNG-SÄLEN</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46819-2022</t>
        </is>
      </c>
      <c r="B4742" s="1" t="n">
        <v>44851</v>
      </c>
      <c r="C4742" s="1" t="n">
        <v>45210</v>
      </c>
      <c r="D4742" t="inlineStr">
        <is>
          <t>DALARNAS LÄN</t>
        </is>
      </c>
      <c r="E4742" t="inlineStr">
        <is>
          <t>AVESTA</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47135-2022</t>
        </is>
      </c>
      <c r="B4743" s="1" t="n">
        <v>44852</v>
      </c>
      <c r="C4743" s="1" t="n">
        <v>45210</v>
      </c>
      <c r="D4743" t="inlineStr">
        <is>
          <t>DALARNAS LÄN</t>
        </is>
      </c>
      <c r="E4743" t="inlineStr">
        <is>
          <t>ORSA</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47143-2022</t>
        </is>
      </c>
      <c r="B4744" s="1" t="n">
        <v>44852</v>
      </c>
      <c r="C4744" s="1" t="n">
        <v>45210</v>
      </c>
      <c r="D4744" t="inlineStr">
        <is>
          <t>DALARNAS LÄN</t>
        </is>
      </c>
      <c r="E4744" t="inlineStr">
        <is>
          <t>MORA</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47023-2022</t>
        </is>
      </c>
      <c r="B4745" s="1" t="n">
        <v>44852</v>
      </c>
      <c r="C4745" s="1" t="n">
        <v>45210</v>
      </c>
      <c r="D4745" t="inlineStr">
        <is>
          <t>DALARNAS LÄN</t>
        </is>
      </c>
      <c r="E4745" t="inlineStr">
        <is>
          <t>FALUN</t>
        </is>
      </c>
      <c r="G4745" t="n">
        <v>4.7</v>
      </c>
      <c r="H4745" t="n">
        <v>0</v>
      </c>
      <c r="I4745" t="n">
        <v>0</v>
      </c>
      <c r="J4745" t="n">
        <v>0</v>
      </c>
      <c r="K4745" t="n">
        <v>0</v>
      </c>
      <c r="L4745" t="n">
        <v>0</v>
      </c>
      <c r="M4745" t="n">
        <v>0</v>
      </c>
      <c r="N4745" t="n">
        <v>0</v>
      </c>
      <c r="O4745" t="n">
        <v>0</v>
      </c>
      <c r="P4745" t="n">
        <v>0</v>
      </c>
      <c r="Q4745" t="n">
        <v>0</v>
      </c>
      <c r="R4745" s="2" t="inlineStr"/>
    </row>
    <row r="4746" ht="15" customHeight="1">
      <c r="A4746" t="inlineStr">
        <is>
          <t>A 47071-2022</t>
        </is>
      </c>
      <c r="B4746" s="1" t="n">
        <v>44852</v>
      </c>
      <c r="C4746" s="1" t="n">
        <v>45210</v>
      </c>
      <c r="D4746" t="inlineStr">
        <is>
          <t>DALARNAS LÄN</t>
        </is>
      </c>
      <c r="E4746" t="inlineStr">
        <is>
          <t>LUDVIKA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47216-2022</t>
        </is>
      </c>
      <c r="B4747" s="1" t="n">
        <v>44852</v>
      </c>
      <c r="C4747" s="1" t="n">
        <v>45210</v>
      </c>
      <c r="D4747" t="inlineStr">
        <is>
          <t>DALARNAS LÄN</t>
        </is>
      </c>
      <c r="E4747" t="inlineStr">
        <is>
          <t>MALUNG-SÄLEN</t>
        </is>
      </c>
      <c r="F4747" t="inlineStr">
        <is>
          <t>Allmännings- och besparingsskogar</t>
        </is>
      </c>
      <c r="G4747" t="n">
        <v>35.3</v>
      </c>
      <c r="H4747" t="n">
        <v>0</v>
      </c>
      <c r="I4747" t="n">
        <v>0</v>
      </c>
      <c r="J4747" t="n">
        <v>0</v>
      </c>
      <c r="K4747" t="n">
        <v>0</v>
      </c>
      <c r="L4747" t="n">
        <v>0</v>
      </c>
      <c r="M4747" t="n">
        <v>0</v>
      </c>
      <c r="N4747" t="n">
        <v>0</v>
      </c>
      <c r="O4747" t="n">
        <v>0</v>
      </c>
      <c r="P4747" t="n">
        <v>0</v>
      </c>
      <c r="Q4747" t="n">
        <v>0</v>
      </c>
      <c r="R4747" s="2" t="inlineStr"/>
    </row>
    <row r="4748" ht="15" customHeight="1">
      <c r="A4748" t="inlineStr">
        <is>
          <t>A 47353-2022</t>
        </is>
      </c>
      <c r="B4748" s="1" t="n">
        <v>44853</v>
      </c>
      <c r="C4748" s="1" t="n">
        <v>45210</v>
      </c>
      <c r="D4748" t="inlineStr">
        <is>
          <t>DALARNAS LÄN</t>
        </is>
      </c>
      <c r="E4748" t="inlineStr">
        <is>
          <t>MALUNG-SÄLEN</t>
        </is>
      </c>
      <c r="G4748" t="n">
        <v>26.8</v>
      </c>
      <c r="H4748" t="n">
        <v>0</v>
      </c>
      <c r="I4748" t="n">
        <v>0</v>
      </c>
      <c r="J4748" t="n">
        <v>0</v>
      </c>
      <c r="K4748" t="n">
        <v>0</v>
      </c>
      <c r="L4748" t="n">
        <v>0</v>
      </c>
      <c r="M4748" t="n">
        <v>0</v>
      </c>
      <c r="N4748" t="n">
        <v>0</v>
      </c>
      <c r="O4748" t="n">
        <v>0</v>
      </c>
      <c r="P4748" t="n">
        <v>0</v>
      </c>
      <c r="Q4748" t="n">
        <v>0</v>
      </c>
      <c r="R4748" s="2" t="inlineStr"/>
    </row>
    <row r="4749" ht="15" customHeight="1">
      <c r="A4749" t="inlineStr">
        <is>
          <t>A 47496-2022</t>
        </is>
      </c>
      <c r="B4749" s="1" t="n">
        <v>44853</v>
      </c>
      <c r="C4749" s="1" t="n">
        <v>45210</v>
      </c>
      <c r="D4749" t="inlineStr">
        <is>
          <t>DALARNAS LÄN</t>
        </is>
      </c>
      <c r="E4749" t="inlineStr">
        <is>
          <t>LUDVIKA</t>
        </is>
      </c>
      <c r="F4749" t="inlineStr">
        <is>
          <t>Bergvik skog väst AB</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47429-2022</t>
        </is>
      </c>
      <c r="B4750" s="1" t="n">
        <v>44853</v>
      </c>
      <c r="C4750" s="1" t="n">
        <v>45210</v>
      </c>
      <c r="D4750" t="inlineStr">
        <is>
          <t>DALARNAS LÄN</t>
        </is>
      </c>
      <c r="E4750" t="inlineStr">
        <is>
          <t>MORA</t>
        </is>
      </c>
      <c r="G4750" t="n">
        <v>3</v>
      </c>
      <c r="H4750" t="n">
        <v>0</v>
      </c>
      <c r="I4750" t="n">
        <v>0</v>
      </c>
      <c r="J4750" t="n">
        <v>0</v>
      </c>
      <c r="K4750" t="n">
        <v>0</v>
      </c>
      <c r="L4750" t="n">
        <v>0</v>
      </c>
      <c r="M4750" t="n">
        <v>0</v>
      </c>
      <c r="N4750" t="n">
        <v>0</v>
      </c>
      <c r="O4750" t="n">
        <v>0</v>
      </c>
      <c r="P4750" t="n">
        <v>0</v>
      </c>
      <c r="Q4750" t="n">
        <v>0</v>
      </c>
      <c r="R4750" s="2" t="inlineStr"/>
    </row>
    <row r="4751" ht="15" customHeight="1">
      <c r="A4751" t="inlineStr">
        <is>
          <t>A 47474-2022</t>
        </is>
      </c>
      <c r="B4751" s="1" t="n">
        <v>44853</v>
      </c>
      <c r="C4751" s="1" t="n">
        <v>45210</v>
      </c>
      <c r="D4751" t="inlineStr">
        <is>
          <t>DALARNAS LÄN</t>
        </is>
      </c>
      <c r="E4751" t="inlineStr">
        <is>
          <t>MALUNG-SÄLEN</t>
        </is>
      </c>
      <c r="G4751" t="n">
        <v>5.8</v>
      </c>
      <c r="H4751" t="n">
        <v>0</v>
      </c>
      <c r="I4751" t="n">
        <v>0</v>
      </c>
      <c r="J4751" t="n">
        <v>0</v>
      </c>
      <c r="K4751" t="n">
        <v>0</v>
      </c>
      <c r="L4751" t="n">
        <v>0</v>
      </c>
      <c r="M4751" t="n">
        <v>0</v>
      </c>
      <c r="N4751" t="n">
        <v>0</v>
      </c>
      <c r="O4751" t="n">
        <v>0</v>
      </c>
      <c r="P4751" t="n">
        <v>0</v>
      </c>
      <c r="Q4751" t="n">
        <v>0</v>
      </c>
      <c r="R4751" s="2" t="inlineStr"/>
    </row>
    <row r="4752" ht="15" customHeight="1">
      <c r="A4752" t="inlineStr">
        <is>
          <t>A 47675-2022</t>
        </is>
      </c>
      <c r="B4752" s="1" t="n">
        <v>44854</v>
      </c>
      <c r="C4752" s="1" t="n">
        <v>45210</v>
      </c>
      <c r="D4752" t="inlineStr">
        <is>
          <t>DALARNAS LÄN</t>
        </is>
      </c>
      <c r="E4752" t="inlineStr">
        <is>
          <t>SÄTER</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47742-2022</t>
        </is>
      </c>
      <c r="B4753" s="1" t="n">
        <v>44854</v>
      </c>
      <c r="C4753" s="1" t="n">
        <v>45210</v>
      </c>
      <c r="D4753" t="inlineStr">
        <is>
          <t>DALARNAS LÄN</t>
        </is>
      </c>
      <c r="E4753" t="inlineStr">
        <is>
          <t>ORSA</t>
        </is>
      </c>
      <c r="F4753" t="inlineStr">
        <is>
          <t>Bergvik skog öst AB</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47731-2022</t>
        </is>
      </c>
      <c r="B4754" s="1" t="n">
        <v>44854</v>
      </c>
      <c r="C4754" s="1" t="n">
        <v>45210</v>
      </c>
      <c r="D4754" t="inlineStr">
        <is>
          <t>DALARNAS LÄN</t>
        </is>
      </c>
      <c r="E4754" t="inlineStr">
        <is>
          <t>LUDVIKA</t>
        </is>
      </c>
      <c r="F4754" t="inlineStr">
        <is>
          <t>Naturvårdsverket</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47878-2022</t>
        </is>
      </c>
      <c r="B4755" s="1" t="n">
        <v>44855</v>
      </c>
      <c r="C4755" s="1" t="n">
        <v>45210</v>
      </c>
      <c r="D4755" t="inlineStr">
        <is>
          <t>DALARNAS LÄN</t>
        </is>
      </c>
      <c r="E4755" t="inlineStr">
        <is>
          <t>ÄLVDALEN</t>
        </is>
      </c>
      <c r="G4755" t="n">
        <v>10.2</v>
      </c>
      <c r="H4755" t="n">
        <v>0</v>
      </c>
      <c r="I4755" t="n">
        <v>0</v>
      </c>
      <c r="J4755" t="n">
        <v>0</v>
      </c>
      <c r="K4755" t="n">
        <v>0</v>
      </c>
      <c r="L4755" t="n">
        <v>0</v>
      </c>
      <c r="M4755" t="n">
        <v>0</v>
      </c>
      <c r="N4755" t="n">
        <v>0</v>
      </c>
      <c r="O4755" t="n">
        <v>0</v>
      </c>
      <c r="P4755" t="n">
        <v>0</v>
      </c>
      <c r="Q4755" t="n">
        <v>0</v>
      </c>
      <c r="R4755" s="2" t="inlineStr"/>
    </row>
    <row r="4756" ht="15" customHeight="1">
      <c r="A4756" t="inlineStr">
        <is>
          <t>A 47888-2022</t>
        </is>
      </c>
      <c r="B4756" s="1" t="n">
        <v>44855</v>
      </c>
      <c r="C4756" s="1" t="n">
        <v>45210</v>
      </c>
      <c r="D4756" t="inlineStr">
        <is>
          <t>DALARNAS LÄN</t>
        </is>
      </c>
      <c r="E4756" t="inlineStr">
        <is>
          <t>MALUNG-SÄLEN</t>
        </is>
      </c>
      <c r="F4756" t="inlineStr">
        <is>
          <t>Allmännings- och besparingsskogar</t>
        </is>
      </c>
      <c r="G4756" t="n">
        <v>39.6</v>
      </c>
      <c r="H4756" t="n">
        <v>0</v>
      </c>
      <c r="I4756" t="n">
        <v>0</v>
      </c>
      <c r="J4756" t="n">
        <v>0</v>
      </c>
      <c r="K4756" t="n">
        <v>0</v>
      </c>
      <c r="L4756" t="n">
        <v>0</v>
      </c>
      <c r="M4756" t="n">
        <v>0</v>
      </c>
      <c r="N4756" t="n">
        <v>0</v>
      </c>
      <c r="O4756" t="n">
        <v>0</v>
      </c>
      <c r="P4756" t="n">
        <v>0</v>
      </c>
      <c r="Q4756" t="n">
        <v>0</v>
      </c>
      <c r="R4756" s="2" t="inlineStr"/>
    </row>
    <row r="4757" ht="15" customHeight="1">
      <c r="A4757" t="inlineStr">
        <is>
          <t>A 49042-2022</t>
        </is>
      </c>
      <c r="B4757" s="1" t="n">
        <v>44855</v>
      </c>
      <c r="C4757" s="1" t="n">
        <v>45210</v>
      </c>
      <c r="D4757" t="inlineStr">
        <is>
          <t>DALARNAS LÄN</t>
        </is>
      </c>
      <c r="E4757" t="inlineStr">
        <is>
          <t>SMEDJEBACKEN</t>
        </is>
      </c>
      <c r="F4757" t="inlineStr">
        <is>
          <t>Bergvik skog väst AB</t>
        </is>
      </c>
      <c r="G4757" t="n">
        <v>8.5</v>
      </c>
      <c r="H4757" t="n">
        <v>0</v>
      </c>
      <c r="I4757" t="n">
        <v>0</v>
      </c>
      <c r="J4757" t="n">
        <v>0</v>
      </c>
      <c r="K4757" t="n">
        <v>0</v>
      </c>
      <c r="L4757" t="n">
        <v>0</v>
      </c>
      <c r="M4757" t="n">
        <v>0</v>
      </c>
      <c r="N4757" t="n">
        <v>0</v>
      </c>
      <c r="O4757" t="n">
        <v>0</v>
      </c>
      <c r="P4757" t="n">
        <v>0</v>
      </c>
      <c r="Q4757" t="n">
        <v>0</v>
      </c>
      <c r="R4757" s="2" t="inlineStr"/>
    </row>
    <row r="4758" ht="15" customHeight="1">
      <c r="A4758" t="inlineStr">
        <is>
          <t>A 47964-2022</t>
        </is>
      </c>
      <c r="B4758" s="1" t="n">
        <v>44855</v>
      </c>
      <c r="C4758" s="1" t="n">
        <v>45210</v>
      </c>
      <c r="D4758" t="inlineStr">
        <is>
          <t>DALARNAS LÄN</t>
        </is>
      </c>
      <c r="E4758" t="inlineStr">
        <is>
          <t>RÄTTVIK</t>
        </is>
      </c>
      <c r="F4758" t="inlineStr">
        <is>
          <t>Sveaskog</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47839-2022</t>
        </is>
      </c>
      <c r="B4759" s="1" t="n">
        <v>44855</v>
      </c>
      <c r="C4759" s="1" t="n">
        <v>45210</v>
      </c>
      <c r="D4759" t="inlineStr">
        <is>
          <t>DALARNAS LÄN</t>
        </is>
      </c>
      <c r="E4759" t="inlineStr">
        <is>
          <t>SMEDJEBACKEN</t>
        </is>
      </c>
      <c r="F4759" t="inlineStr">
        <is>
          <t>Sveaskog</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48746-2022</t>
        </is>
      </c>
      <c r="B4760" s="1" t="n">
        <v>44855</v>
      </c>
      <c r="C4760" s="1" t="n">
        <v>45210</v>
      </c>
      <c r="D4760" t="inlineStr">
        <is>
          <t>DALARNAS LÄN</t>
        </is>
      </c>
      <c r="E4760" t="inlineStr">
        <is>
          <t>AVESTA</t>
        </is>
      </c>
      <c r="G4760" t="n">
        <v>36.8</v>
      </c>
      <c r="H4760" t="n">
        <v>0</v>
      </c>
      <c r="I4760" t="n">
        <v>0</v>
      </c>
      <c r="J4760" t="n">
        <v>0</v>
      </c>
      <c r="K4760" t="n">
        <v>0</v>
      </c>
      <c r="L4760" t="n">
        <v>0</v>
      </c>
      <c r="M4760" t="n">
        <v>0</v>
      </c>
      <c r="N4760" t="n">
        <v>0</v>
      </c>
      <c r="O4760" t="n">
        <v>0</v>
      </c>
      <c r="P4760" t="n">
        <v>0</v>
      </c>
      <c r="Q4760" t="n">
        <v>0</v>
      </c>
      <c r="R4760" s="2" t="inlineStr"/>
    </row>
    <row r="4761" ht="15" customHeight="1">
      <c r="A4761" t="inlineStr">
        <is>
          <t>A 48131-2022</t>
        </is>
      </c>
      <c r="B4761" s="1" t="n">
        <v>44857</v>
      </c>
      <c r="C4761" s="1" t="n">
        <v>45210</v>
      </c>
      <c r="D4761" t="inlineStr">
        <is>
          <t>DALARNAS LÄN</t>
        </is>
      </c>
      <c r="E4761" t="inlineStr">
        <is>
          <t>ORSA</t>
        </is>
      </c>
      <c r="F4761" t="inlineStr">
        <is>
          <t>Bergvik skog öst AB</t>
        </is>
      </c>
      <c r="G4761" t="n">
        <v>3.4</v>
      </c>
      <c r="H4761" t="n">
        <v>0</v>
      </c>
      <c r="I4761" t="n">
        <v>0</v>
      </c>
      <c r="J4761" t="n">
        <v>0</v>
      </c>
      <c r="K4761" t="n">
        <v>0</v>
      </c>
      <c r="L4761" t="n">
        <v>0</v>
      </c>
      <c r="M4761" t="n">
        <v>0</v>
      </c>
      <c r="N4761" t="n">
        <v>0</v>
      </c>
      <c r="O4761" t="n">
        <v>0</v>
      </c>
      <c r="P4761" t="n">
        <v>0</v>
      </c>
      <c r="Q4761" t="n">
        <v>0</v>
      </c>
      <c r="R4761" s="2" t="inlineStr"/>
    </row>
    <row r="4762" ht="15" customHeight="1">
      <c r="A4762" t="inlineStr">
        <is>
          <t>A 48158-2022</t>
        </is>
      </c>
      <c r="B4762" s="1" t="n">
        <v>44858</v>
      </c>
      <c r="C4762" s="1" t="n">
        <v>45210</v>
      </c>
      <c r="D4762" t="inlineStr">
        <is>
          <t>DALARNAS LÄN</t>
        </is>
      </c>
      <c r="E4762" t="inlineStr">
        <is>
          <t>VANSBRO</t>
        </is>
      </c>
      <c r="F4762" t="inlineStr">
        <is>
          <t>Bergvik skog väst AB</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48481-2022</t>
        </is>
      </c>
      <c r="B4763" s="1" t="n">
        <v>44858</v>
      </c>
      <c r="C4763" s="1" t="n">
        <v>45210</v>
      </c>
      <c r="D4763" t="inlineStr">
        <is>
          <t>DALARNAS LÄN</t>
        </is>
      </c>
      <c r="E4763" t="inlineStr">
        <is>
          <t>MALUNG-SÄLEN</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48849-2022</t>
        </is>
      </c>
      <c r="B4764" s="1" t="n">
        <v>44859</v>
      </c>
      <c r="C4764" s="1" t="n">
        <v>45210</v>
      </c>
      <c r="D4764" t="inlineStr">
        <is>
          <t>DALARNAS LÄN</t>
        </is>
      </c>
      <c r="E4764" t="inlineStr">
        <is>
          <t>ÄLVDALEN</t>
        </is>
      </c>
      <c r="F4764" t="inlineStr">
        <is>
          <t>Allmännings- och besparingsskogar</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49760-2022</t>
        </is>
      </c>
      <c r="B4765" s="1" t="n">
        <v>44859</v>
      </c>
      <c r="C4765" s="1" t="n">
        <v>45210</v>
      </c>
      <c r="D4765" t="inlineStr">
        <is>
          <t>DALARNAS LÄN</t>
        </is>
      </c>
      <c r="E4765" t="inlineStr">
        <is>
          <t>SMEDJEBACKEN</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48759-2022</t>
        </is>
      </c>
      <c r="B4766" s="1" t="n">
        <v>44859</v>
      </c>
      <c r="C4766" s="1" t="n">
        <v>45210</v>
      </c>
      <c r="D4766" t="inlineStr">
        <is>
          <t>DALARNAS LÄN</t>
        </is>
      </c>
      <c r="E4766" t="inlineStr">
        <is>
          <t>LUDVIKA</t>
        </is>
      </c>
      <c r="F4766" t="inlineStr">
        <is>
          <t>Naturvårdsverket</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48570-2022</t>
        </is>
      </c>
      <c r="B4767" s="1" t="n">
        <v>44859</v>
      </c>
      <c r="C4767" s="1" t="n">
        <v>45210</v>
      </c>
      <c r="D4767" t="inlineStr">
        <is>
          <t>DALARNAS LÄN</t>
        </is>
      </c>
      <c r="E4767" t="inlineStr">
        <is>
          <t>MORA</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48639-2022</t>
        </is>
      </c>
      <c r="B4768" s="1" t="n">
        <v>44859</v>
      </c>
      <c r="C4768" s="1" t="n">
        <v>45210</v>
      </c>
      <c r="D4768" t="inlineStr">
        <is>
          <t>DALARNAS LÄN</t>
        </is>
      </c>
      <c r="E4768" t="inlineStr">
        <is>
          <t>HEDEMORA</t>
        </is>
      </c>
      <c r="F4768" t="inlineStr">
        <is>
          <t>Sveaskog</t>
        </is>
      </c>
      <c r="G4768" t="n">
        <v>0.2</v>
      </c>
      <c r="H4768" t="n">
        <v>0</v>
      </c>
      <c r="I4768" t="n">
        <v>0</v>
      </c>
      <c r="J4768" t="n">
        <v>0</v>
      </c>
      <c r="K4768" t="n">
        <v>0</v>
      </c>
      <c r="L4768" t="n">
        <v>0</v>
      </c>
      <c r="M4768" t="n">
        <v>0</v>
      </c>
      <c r="N4768" t="n">
        <v>0</v>
      </c>
      <c r="O4768" t="n">
        <v>0</v>
      </c>
      <c r="P4768" t="n">
        <v>0</v>
      </c>
      <c r="Q4768" t="n">
        <v>0</v>
      </c>
      <c r="R4768" s="2" t="inlineStr"/>
    </row>
    <row r="4769" ht="15" customHeight="1">
      <c r="A4769" t="inlineStr">
        <is>
          <t>A 48842-2022</t>
        </is>
      </c>
      <c r="B4769" s="1" t="n">
        <v>44859</v>
      </c>
      <c r="C4769" s="1" t="n">
        <v>45210</v>
      </c>
      <c r="D4769" t="inlineStr">
        <is>
          <t>DALARNAS LÄN</t>
        </is>
      </c>
      <c r="E4769" t="inlineStr">
        <is>
          <t>MALUNG-SÄLEN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48740-2022</t>
        </is>
      </c>
      <c r="B4770" s="1" t="n">
        <v>44859</v>
      </c>
      <c r="C4770" s="1" t="n">
        <v>45210</v>
      </c>
      <c r="D4770" t="inlineStr">
        <is>
          <t>DALARNAS LÄN</t>
        </is>
      </c>
      <c r="E4770" t="inlineStr">
        <is>
          <t>LUDVIKA</t>
        </is>
      </c>
      <c r="F4770" t="inlineStr">
        <is>
          <t>Bergvik skog väst AB</t>
        </is>
      </c>
      <c r="G4770" t="n">
        <v>0.3</v>
      </c>
      <c r="H4770" t="n">
        <v>0</v>
      </c>
      <c r="I4770" t="n">
        <v>0</v>
      </c>
      <c r="J4770" t="n">
        <v>0</v>
      </c>
      <c r="K4770" t="n">
        <v>0</v>
      </c>
      <c r="L4770" t="n">
        <v>0</v>
      </c>
      <c r="M4770" t="n">
        <v>0</v>
      </c>
      <c r="N4770" t="n">
        <v>0</v>
      </c>
      <c r="O4770" t="n">
        <v>0</v>
      </c>
      <c r="P4770" t="n">
        <v>0</v>
      </c>
      <c r="Q4770" t="n">
        <v>0</v>
      </c>
      <c r="R4770" s="2" t="inlineStr"/>
    </row>
    <row r="4771" ht="15" customHeight="1">
      <c r="A4771" t="inlineStr">
        <is>
          <t>A 49152-2022</t>
        </is>
      </c>
      <c r="B4771" s="1" t="n">
        <v>44860</v>
      </c>
      <c r="C4771" s="1" t="n">
        <v>45210</v>
      </c>
      <c r="D4771" t="inlineStr">
        <is>
          <t>DALARNAS LÄN</t>
        </is>
      </c>
      <c r="E4771" t="inlineStr">
        <is>
          <t>FALUN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48982-2022</t>
        </is>
      </c>
      <c r="B4772" s="1" t="n">
        <v>44860</v>
      </c>
      <c r="C4772" s="1" t="n">
        <v>45210</v>
      </c>
      <c r="D4772" t="inlineStr">
        <is>
          <t>DALARNAS LÄN</t>
        </is>
      </c>
      <c r="E4772" t="inlineStr">
        <is>
          <t>MALUNG-SÄLEN</t>
        </is>
      </c>
      <c r="G4772" t="n">
        <v>1.5</v>
      </c>
      <c r="H4772" t="n">
        <v>0</v>
      </c>
      <c r="I4772" t="n">
        <v>0</v>
      </c>
      <c r="J4772" t="n">
        <v>0</v>
      </c>
      <c r="K4772" t="n">
        <v>0</v>
      </c>
      <c r="L4772" t="n">
        <v>0</v>
      </c>
      <c r="M4772" t="n">
        <v>0</v>
      </c>
      <c r="N4772" t="n">
        <v>0</v>
      </c>
      <c r="O4772" t="n">
        <v>0</v>
      </c>
      <c r="P4772" t="n">
        <v>0</v>
      </c>
      <c r="Q4772" t="n">
        <v>0</v>
      </c>
      <c r="R4772" s="2" t="inlineStr"/>
    </row>
    <row r="4773" ht="15" customHeight="1">
      <c r="A4773" t="inlineStr">
        <is>
          <t>A 49010-2022</t>
        </is>
      </c>
      <c r="B4773" s="1" t="n">
        <v>44860</v>
      </c>
      <c r="C4773" s="1" t="n">
        <v>45210</v>
      </c>
      <c r="D4773" t="inlineStr">
        <is>
          <t>DALARNAS LÄN</t>
        </is>
      </c>
      <c r="E4773" t="inlineStr">
        <is>
          <t>RÄTTVIK</t>
        </is>
      </c>
      <c r="F4773" t="inlineStr">
        <is>
          <t>Bergvik skog väst AB</t>
        </is>
      </c>
      <c r="G4773" t="n">
        <v>7.1</v>
      </c>
      <c r="H4773" t="n">
        <v>0</v>
      </c>
      <c r="I4773" t="n">
        <v>0</v>
      </c>
      <c r="J4773" t="n">
        <v>0</v>
      </c>
      <c r="K4773" t="n">
        <v>0</v>
      </c>
      <c r="L4773" t="n">
        <v>0</v>
      </c>
      <c r="M4773" t="n">
        <v>0</v>
      </c>
      <c r="N4773" t="n">
        <v>0</v>
      </c>
      <c r="O4773" t="n">
        <v>0</v>
      </c>
      <c r="P4773" t="n">
        <v>0</v>
      </c>
      <c r="Q4773" t="n">
        <v>0</v>
      </c>
      <c r="R4773" s="2" t="inlineStr"/>
    </row>
    <row r="4774" ht="15" customHeight="1">
      <c r="A4774" t="inlineStr">
        <is>
          <t>A 49153-2022</t>
        </is>
      </c>
      <c r="B4774" s="1" t="n">
        <v>44860</v>
      </c>
      <c r="C4774" s="1" t="n">
        <v>45210</v>
      </c>
      <c r="D4774" t="inlineStr">
        <is>
          <t>DALARNAS LÄN</t>
        </is>
      </c>
      <c r="E4774" t="inlineStr">
        <is>
          <t>FALUN</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49160-2022</t>
        </is>
      </c>
      <c r="B4775" s="1" t="n">
        <v>44860</v>
      </c>
      <c r="C4775" s="1" t="n">
        <v>45210</v>
      </c>
      <c r="D4775" t="inlineStr">
        <is>
          <t>DALARNAS LÄN</t>
        </is>
      </c>
      <c r="E4775" t="inlineStr">
        <is>
          <t>HEDEMORA</t>
        </is>
      </c>
      <c r="F4775" t="inlineStr">
        <is>
          <t>Sveaskog</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49278-2022</t>
        </is>
      </c>
      <c r="B4776" s="1" t="n">
        <v>44861</v>
      </c>
      <c r="C4776" s="1" t="n">
        <v>45210</v>
      </c>
      <c r="D4776" t="inlineStr">
        <is>
          <t>DALARNAS LÄN</t>
        </is>
      </c>
      <c r="E4776" t="inlineStr">
        <is>
          <t>SMEDJEBACKEN</t>
        </is>
      </c>
      <c r="F4776" t="inlineStr">
        <is>
          <t>Sveaskog</t>
        </is>
      </c>
      <c r="G4776" t="n">
        <v>0.4</v>
      </c>
      <c r="H4776" t="n">
        <v>0</v>
      </c>
      <c r="I4776" t="n">
        <v>0</v>
      </c>
      <c r="J4776" t="n">
        <v>0</v>
      </c>
      <c r="K4776" t="n">
        <v>0</v>
      </c>
      <c r="L4776" t="n">
        <v>0</v>
      </c>
      <c r="M4776" t="n">
        <v>0</v>
      </c>
      <c r="N4776" t="n">
        <v>0</v>
      </c>
      <c r="O4776" t="n">
        <v>0</v>
      </c>
      <c r="P4776" t="n">
        <v>0</v>
      </c>
      <c r="Q4776" t="n">
        <v>0</v>
      </c>
      <c r="R4776" s="2" t="inlineStr"/>
    </row>
    <row r="4777" ht="15" customHeight="1">
      <c r="A4777" t="inlineStr">
        <is>
          <t>A 49358-2022</t>
        </is>
      </c>
      <c r="B4777" s="1" t="n">
        <v>44861</v>
      </c>
      <c r="C4777" s="1" t="n">
        <v>45210</v>
      </c>
      <c r="D4777" t="inlineStr">
        <is>
          <t>DALARNAS LÄN</t>
        </is>
      </c>
      <c r="E4777" t="inlineStr">
        <is>
          <t>AVESTA</t>
        </is>
      </c>
      <c r="G4777" t="n">
        <v>2.9</v>
      </c>
      <c r="H4777" t="n">
        <v>0</v>
      </c>
      <c r="I4777" t="n">
        <v>0</v>
      </c>
      <c r="J4777" t="n">
        <v>0</v>
      </c>
      <c r="K4777" t="n">
        <v>0</v>
      </c>
      <c r="L4777" t="n">
        <v>0</v>
      </c>
      <c r="M4777" t="n">
        <v>0</v>
      </c>
      <c r="N4777" t="n">
        <v>0</v>
      </c>
      <c r="O4777" t="n">
        <v>0</v>
      </c>
      <c r="P4777" t="n">
        <v>0</v>
      </c>
      <c r="Q4777" t="n">
        <v>0</v>
      </c>
      <c r="R4777" s="2" t="inlineStr"/>
    </row>
    <row r="4778" ht="15" customHeight="1">
      <c r="A4778" t="inlineStr">
        <is>
          <t>A 49342-2022</t>
        </is>
      </c>
      <c r="B4778" s="1" t="n">
        <v>44861</v>
      </c>
      <c r="C4778" s="1" t="n">
        <v>45210</v>
      </c>
      <c r="D4778" t="inlineStr">
        <is>
          <t>DALARNAS LÄN</t>
        </is>
      </c>
      <c r="E4778" t="inlineStr">
        <is>
          <t>LEKSAND</t>
        </is>
      </c>
      <c r="F4778" t="inlineStr">
        <is>
          <t>Bergvik skog väst AB</t>
        </is>
      </c>
      <c r="G4778" t="n">
        <v>4.2</v>
      </c>
      <c r="H4778" t="n">
        <v>0</v>
      </c>
      <c r="I4778" t="n">
        <v>0</v>
      </c>
      <c r="J4778" t="n">
        <v>0</v>
      </c>
      <c r="K4778" t="n">
        <v>0</v>
      </c>
      <c r="L4778" t="n">
        <v>0</v>
      </c>
      <c r="M4778" t="n">
        <v>0</v>
      </c>
      <c r="N4778" t="n">
        <v>0</v>
      </c>
      <c r="O4778" t="n">
        <v>0</v>
      </c>
      <c r="P4778" t="n">
        <v>0</v>
      </c>
      <c r="Q4778" t="n">
        <v>0</v>
      </c>
      <c r="R4778" s="2" t="inlineStr"/>
    </row>
    <row r="4779" ht="15" customHeight="1">
      <c r="A4779" t="inlineStr">
        <is>
          <t>A 49275-2022</t>
        </is>
      </c>
      <c r="B4779" s="1" t="n">
        <v>44861</v>
      </c>
      <c r="C4779" s="1" t="n">
        <v>45210</v>
      </c>
      <c r="D4779" t="inlineStr">
        <is>
          <t>DALARNAS LÄN</t>
        </is>
      </c>
      <c r="E4779" t="inlineStr">
        <is>
          <t>SMEDJEBACKEN</t>
        </is>
      </c>
      <c r="F4779" t="inlineStr">
        <is>
          <t>Sveaskog</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49345-2022</t>
        </is>
      </c>
      <c r="B4780" s="1" t="n">
        <v>44861</v>
      </c>
      <c r="C4780" s="1" t="n">
        <v>45210</v>
      </c>
      <c r="D4780" t="inlineStr">
        <is>
          <t>DALARNAS LÄN</t>
        </is>
      </c>
      <c r="E4780" t="inlineStr">
        <is>
          <t>LEKSAND</t>
        </is>
      </c>
      <c r="F4780" t="inlineStr">
        <is>
          <t>Bergvik skog väst AB</t>
        </is>
      </c>
      <c r="G4780" t="n">
        <v>4.8</v>
      </c>
      <c r="H4780" t="n">
        <v>0</v>
      </c>
      <c r="I4780" t="n">
        <v>0</v>
      </c>
      <c r="J4780" t="n">
        <v>0</v>
      </c>
      <c r="K4780" t="n">
        <v>0</v>
      </c>
      <c r="L4780" t="n">
        <v>0</v>
      </c>
      <c r="M4780" t="n">
        <v>0</v>
      </c>
      <c r="N4780" t="n">
        <v>0</v>
      </c>
      <c r="O4780" t="n">
        <v>0</v>
      </c>
      <c r="P4780" t="n">
        <v>0</v>
      </c>
      <c r="Q4780" t="n">
        <v>0</v>
      </c>
      <c r="R4780" s="2" t="inlineStr"/>
    </row>
    <row r="4781" ht="15" customHeight="1">
      <c r="A4781" t="inlineStr">
        <is>
          <t>A 49573-2022</t>
        </is>
      </c>
      <c r="B4781" s="1" t="n">
        <v>44862</v>
      </c>
      <c r="C4781" s="1" t="n">
        <v>45210</v>
      </c>
      <c r="D4781" t="inlineStr">
        <is>
          <t>DALARNAS LÄN</t>
        </is>
      </c>
      <c r="E4781" t="inlineStr">
        <is>
          <t>MALUNG-SÄLEN</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49628-2022</t>
        </is>
      </c>
      <c r="B4782" s="1" t="n">
        <v>44862</v>
      </c>
      <c r="C4782" s="1" t="n">
        <v>45210</v>
      </c>
      <c r="D4782" t="inlineStr">
        <is>
          <t>DALARNAS LÄN</t>
        </is>
      </c>
      <c r="E4782" t="inlineStr">
        <is>
          <t>AVESTA</t>
        </is>
      </c>
      <c r="F4782" t="inlineStr">
        <is>
          <t>Sveaskog</t>
        </is>
      </c>
      <c r="G4782" t="n">
        <v>5.6</v>
      </c>
      <c r="H4782" t="n">
        <v>0</v>
      </c>
      <c r="I4782" t="n">
        <v>0</v>
      </c>
      <c r="J4782" t="n">
        <v>0</v>
      </c>
      <c r="K4782" t="n">
        <v>0</v>
      </c>
      <c r="L4782" t="n">
        <v>0</v>
      </c>
      <c r="M4782" t="n">
        <v>0</v>
      </c>
      <c r="N4782" t="n">
        <v>0</v>
      </c>
      <c r="O4782" t="n">
        <v>0</v>
      </c>
      <c r="P4782" t="n">
        <v>0</v>
      </c>
      <c r="Q4782" t="n">
        <v>0</v>
      </c>
      <c r="R4782" s="2" t="inlineStr"/>
    </row>
    <row r="4783" ht="15" customHeight="1">
      <c r="A4783" t="inlineStr">
        <is>
          <t>A 49595-2022</t>
        </is>
      </c>
      <c r="B4783" s="1" t="n">
        <v>44862</v>
      </c>
      <c r="C4783" s="1" t="n">
        <v>45210</v>
      </c>
      <c r="D4783" t="inlineStr">
        <is>
          <t>DALARNAS LÄN</t>
        </is>
      </c>
      <c r="E4783" t="inlineStr">
        <is>
          <t>MALUNG-SÄLEN</t>
        </is>
      </c>
      <c r="F4783" t="inlineStr">
        <is>
          <t>Bergvik skog väst AB</t>
        </is>
      </c>
      <c r="G4783" t="n">
        <v>3.8</v>
      </c>
      <c r="H4783" t="n">
        <v>0</v>
      </c>
      <c r="I4783" t="n">
        <v>0</v>
      </c>
      <c r="J4783" t="n">
        <v>0</v>
      </c>
      <c r="K4783" t="n">
        <v>0</v>
      </c>
      <c r="L4783" t="n">
        <v>0</v>
      </c>
      <c r="M4783" t="n">
        <v>0</v>
      </c>
      <c r="N4783" t="n">
        <v>0</v>
      </c>
      <c r="O4783" t="n">
        <v>0</v>
      </c>
      <c r="P4783" t="n">
        <v>0</v>
      </c>
      <c r="Q4783" t="n">
        <v>0</v>
      </c>
      <c r="R4783" s="2" t="inlineStr"/>
    </row>
    <row r="4784" ht="15" customHeight="1">
      <c r="A4784" t="inlineStr">
        <is>
          <t>A 49614-2022</t>
        </is>
      </c>
      <c r="B4784" s="1" t="n">
        <v>44862</v>
      </c>
      <c r="C4784" s="1" t="n">
        <v>45210</v>
      </c>
      <c r="D4784" t="inlineStr">
        <is>
          <t>DALARNAS LÄN</t>
        </is>
      </c>
      <c r="E4784" t="inlineStr">
        <is>
          <t>AVESTA</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49618-2022</t>
        </is>
      </c>
      <c r="B4785" s="1" t="n">
        <v>44862</v>
      </c>
      <c r="C4785" s="1" t="n">
        <v>45210</v>
      </c>
      <c r="D4785" t="inlineStr">
        <is>
          <t>DALARNAS LÄN</t>
        </is>
      </c>
      <c r="E4785" t="inlineStr">
        <is>
          <t>AVESTA</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50761-2022</t>
        </is>
      </c>
      <c r="B4786" s="1" t="n">
        <v>44862</v>
      </c>
      <c r="C4786" s="1" t="n">
        <v>45210</v>
      </c>
      <c r="D4786" t="inlineStr">
        <is>
          <t>DALARNAS LÄN</t>
        </is>
      </c>
      <c r="E4786" t="inlineStr">
        <is>
          <t>MALUNG-SÄLEN</t>
        </is>
      </c>
      <c r="G4786" t="n">
        <v>0.4</v>
      </c>
      <c r="H4786" t="n">
        <v>0</v>
      </c>
      <c r="I4786" t="n">
        <v>0</v>
      </c>
      <c r="J4786" t="n">
        <v>0</v>
      </c>
      <c r="K4786" t="n">
        <v>0</v>
      </c>
      <c r="L4786" t="n">
        <v>0</v>
      </c>
      <c r="M4786" t="n">
        <v>0</v>
      </c>
      <c r="N4786" t="n">
        <v>0</v>
      </c>
      <c r="O4786" t="n">
        <v>0</v>
      </c>
      <c r="P4786" t="n">
        <v>0</v>
      </c>
      <c r="Q4786" t="n">
        <v>0</v>
      </c>
      <c r="R4786" s="2" t="inlineStr"/>
    </row>
    <row r="4787" ht="15" customHeight="1">
      <c r="A4787" t="inlineStr">
        <is>
          <t>A 49565-2022</t>
        </is>
      </c>
      <c r="B4787" s="1" t="n">
        <v>44862</v>
      </c>
      <c r="C4787" s="1" t="n">
        <v>45210</v>
      </c>
      <c r="D4787" t="inlineStr">
        <is>
          <t>DALARNAS LÄN</t>
        </is>
      </c>
      <c r="E4787" t="inlineStr">
        <is>
          <t>VANSBRO</t>
        </is>
      </c>
      <c r="F4787" t="inlineStr">
        <is>
          <t>Bergvik skog väst AB</t>
        </is>
      </c>
      <c r="G4787" t="n">
        <v>3.2</v>
      </c>
      <c r="H4787" t="n">
        <v>0</v>
      </c>
      <c r="I4787" t="n">
        <v>0</v>
      </c>
      <c r="J4787" t="n">
        <v>0</v>
      </c>
      <c r="K4787" t="n">
        <v>0</v>
      </c>
      <c r="L4787" t="n">
        <v>0</v>
      </c>
      <c r="M4787" t="n">
        <v>0</v>
      </c>
      <c r="N4787" t="n">
        <v>0</v>
      </c>
      <c r="O4787" t="n">
        <v>0</v>
      </c>
      <c r="P4787" t="n">
        <v>0</v>
      </c>
      <c r="Q4787" t="n">
        <v>0</v>
      </c>
      <c r="R4787" s="2" t="inlineStr"/>
    </row>
    <row r="4788" ht="15" customHeight="1">
      <c r="A4788" t="inlineStr">
        <is>
          <t>A 49575-2022</t>
        </is>
      </c>
      <c r="B4788" s="1" t="n">
        <v>44862</v>
      </c>
      <c r="C4788" s="1" t="n">
        <v>45210</v>
      </c>
      <c r="D4788" t="inlineStr">
        <is>
          <t>DALARNAS LÄN</t>
        </is>
      </c>
      <c r="E4788" t="inlineStr">
        <is>
          <t>MALUNG-SÄLEN</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49615-2022</t>
        </is>
      </c>
      <c r="B4789" s="1" t="n">
        <v>44862</v>
      </c>
      <c r="C4789" s="1" t="n">
        <v>45210</v>
      </c>
      <c r="D4789" t="inlineStr">
        <is>
          <t>DALARNAS LÄN</t>
        </is>
      </c>
      <c r="E4789" t="inlineStr">
        <is>
          <t>AVESTA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49619-2022</t>
        </is>
      </c>
      <c r="B4790" s="1" t="n">
        <v>44862</v>
      </c>
      <c r="C4790" s="1" t="n">
        <v>45210</v>
      </c>
      <c r="D4790" t="inlineStr">
        <is>
          <t>DALARNAS LÄN</t>
        </is>
      </c>
      <c r="E4790" t="inlineStr">
        <is>
          <t>AVESTA</t>
        </is>
      </c>
      <c r="G4790" t="n">
        <v>1.9</v>
      </c>
      <c r="H4790" t="n">
        <v>0</v>
      </c>
      <c r="I4790" t="n">
        <v>0</v>
      </c>
      <c r="J4790" t="n">
        <v>0</v>
      </c>
      <c r="K4790" t="n">
        <v>0</v>
      </c>
      <c r="L4790" t="n">
        <v>0</v>
      </c>
      <c r="M4790" t="n">
        <v>0</v>
      </c>
      <c r="N4790" t="n">
        <v>0</v>
      </c>
      <c r="O4790" t="n">
        <v>0</v>
      </c>
      <c r="P4790" t="n">
        <v>0</v>
      </c>
      <c r="Q4790" t="n">
        <v>0</v>
      </c>
      <c r="R4790" s="2" t="inlineStr"/>
    </row>
    <row r="4791" ht="15" customHeight="1">
      <c r="A4791" t="inlineStr">
        <is>
          <t>A 50763-2022</t>
        </is>
      </c>
      <c r="B4791" s="1" t="n">
        <v>44862</v>
      </c>
      <c r="C4791" s="1" t="n">
        <v>45210</v>
      </c>
      <c r="D4791" t="inlineStr">
        <is>
          <t>DALARNAS LÄN</t>
        </is>
      </c>
      <c r="E4791" t="inlineStr">
        <is>
          <t>MALUNG-SÄLEN</t>
        </is>
      </c>
      <c r="G4791" t="n">
        <v>12.6</v>
      </c>
      <c r="H4791" t="n">
        <v>0</v>
      </c>
      <c r="I4791" t="n">
        <v>0</v>
      </c>
      <c r="J4791" t="n">
        <v>0</v>
      </c>
      <c r="K4791" t="n">
        <v>0</v>
      </c>
      <c r="L4791" t="n">
        <v>0</v>
      </c>
      <c r="M4791" t="n">
        <v>0</v>
      </c>
      <c r="N4791" t="n">
        <v>0</v>
      </c>
      <c r="O4791" t="n">
        <v>0</v>
      </c>
      <c r="P4791" t="n">
        <v>0</v>
      </c>
      <c r="Q4791" t="n">
        <v>0</v>
      </c>
      <c r="R4791" s="2" t="inlineStr"/>
    </row>
    <row r="4792" ht="15" customHeight="1">
      <c r="A4792" t="inlineStr">
        <is>
          <t>A 49889-2022</t>
        </is>
      </c>
      <c r="B4792" s="1" t="n">
        <v>44864</v>
      </c>
      <c r="C4792" s="1" t="n">
        <v>45210</v>
      </c>
      <c r="D4792" t="inlineStr">
        <is>
          <t>DALARNAS LÄN</t>
        </is>
      </c>
      <c r="E4792" t="inlineStr">
        <is>
          <t>HEDEMORA</t>
        </is>
      </c>
      <c r="F4792" t="inlineStr">
        <is>
          <t>Sveaskog</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50209-2022</t>
        </is>
      </c>
      <c r="B4793" s="1" t="n">
        <v>44865</v>
      </c>
      <c r="C4793" s="1" t="n">
        <v>45210</v>
      </c>
      <c r="D4793" t="inlineStr">
        <is>
          <t>DALARNAS LÄN</t>
        </is>
      </c>
      <c r="E4793" t="inlineStr">
        <is>
          <t>ÄLVDALEN</t>
        </is>
      </c>
      <c r="F4793" t="inlineStr">
        <is>
          <t>Sveaskog</t>
        </is>
      </c>
      <c r="G4793" t="n">
        <v>3.7</v>
      </c>
      <c r="H4793" t="n">
        <v>0</v>
      </c>
      <c r="I4793" t="n">
        <v>0</v>
      </c>
      <c r="J4793" t="n">
        <v>0</v>
      </c>
      <c r="K4793" t="n">
        <v>0</v>
      </c>
      <c r="L4793" t="n">
        <v>0</v>
      </c>
      <c r="M4793" t="n">
        <v>0</v>
      </c>
      <c r="N4793" t="n">
        <v>0</v>
      </c>
      <c r="O4793" t="n">
        <v>0</v>
      </c>
      <c r="P4793" t="n">
        <v>0</v>
      </c>
      <c r="Q4793" t="n">
        <v>0</v>
      </c>
      <c r="R4793" s="2" t="inlineStr"/>
    </row>
    <row r="4794" ht="15" customHeight="1">
      <c r="A4794" t="inlineStr">
        <is>
          <t>A 50036-2022</t>
        </is>
      </c>
      <c r="B4794" s="1" t="n">
        <v>44865</v>
      </c>
      <c r="C4794" s="1" t="n">
        <v>45210</v>
      </c>
      <c r="D4794" t="inlineStr">
        <is>
          <t>DALARNAS LÄN</t>
        </is>
      </c>
      <c r="E4794" t="inlineStr">
        <is>
          <t>GAGNEF</t>
        </is>
      </c>
      <c r="F4794" t="inlineStr">
        <is>
          <t>Bergvik skog väst AB</t>
        </is>
      </c>
      <c r="G4794" t="n">
        <v>2</v>
      </c>
      <c r="H4794" t="n">
        <v>0</v>
      </c>
      <c r="I4794" t="n">
        <v>0</v>
      </c>
      <c r="J4794" t="n">
        <v>0</v>
      </c>
      <c r="K4794" t="n">
        <v>0</v>
      </c>
      <c r="L4794" t="n">
        <v>0</v>
      </c>
      <c r="M4794" t="n">
        <v>0</v>
      </c>
      <c r="N4794" t="n">
        <v>0</v>
      </c>
      <c r="O4794" t="n">
        <v>0</v>
      </c>
      <c r="P4794" t="n">
        <v>0</v>
      </c>
      <c r="Q4794" t="n">
        <v>0</v>
      </c>
      <c r="R4794" s="2" t="inlineStr"/>
    </row>
    <row r="4795" ht="15" customHeight="1">
      <c r="A4795" t="inlineStr">
        <is>
          <t>A 50056-2022</t>
        </is>
      </c>
      <c r="B4795" s="1" t="n">
        <v>44865</v>
      </c>
      <c r="C4795" s="1" t="n">
        <v>45210</v>
      </c>
      <c r="D4795" t="inlineStr">
        <is>
          <t>DALARNAS LÄN</t>
        </is>
      </c>
      <c r="E4795" t="inlineStr">
        <is>
          <t>MORA</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50232-2022</t>
        </is>
      </c>
      <c r="B4796" s="1" t="n">
        <v>44865</v>
      </c>
      <c r="C4796" s="1" t="n">
        <v>45210</v>
      </c>
      <c r="D4796" t="inlineStr">
        <is>
          <t>DALARNAS LÄN</t>
        </is>
      </c>
      <c r="E4796" t="inlineStr">
        <is>
          <t>MALUNG-SÄLEN</t>
        </is>
      </c>
      <c r="F4796" t="inlineStr">
        <is>
          <t>Bergvik skog väst AB</t>
        </is>
      </c>
      <c r="G4796" t="n">
        <v>9.300000000000001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50900-2022</t>
        </is>
      </c>
      <c r="B4797" s="1" t="n">
        <v>44865</v>
      </c>
      <c r="C4797" s="1" t="n">
        <v>45210</v>
      </c>
      <c r="D4797" t="inlineStr">
        <is>
          <t>DALARNAS LÄN</t>
        </is>
      </c>
      <c r="E4797" t="inlineStr">
        <is>
          <t>AVESTA</t>
        </is>
      </c>
      <c r="G4797" t="n">
        <v>14.8</v>
      </c>
      <c r="H4797" t="n">
        <v>0</v>
      </c>
      <c r="I4797" t="n">
        <v>0</v>
      </c>
      <c r="J4797" t="n">
        <v>0</v>
      </c>
      <c r="K4797" t="n">
        <v>0</v>
      </c>
      <c r="L4797" t="n">
        <v>0</v>
      </c>
      <c r="M4797" t="n">
        <v>0</v>
      </c>
      <c r="N4797" t="n">
        <v>0</v>
      </c>
      <c r="O4797" t="n">
        <v>0</v>
      </c>
      <c r="P4797" t="n">
        <v>0</v>
      </c>
      <c r="Q4797" t="n">
        <v>0</v>
      </c>
      <c r="R4797" s="2" t="inlineStr"/>
    </row>
    <row r="4798" ht="15" customHeight="1">
      <c r="A4798" t="inlineStr">
        <is>
          <t>A 50475-2022</t>
        </is>
      </c>
      <c r="B4798" s="1" t="n">
        <v>44866</v>
      </c>
      <c r="C4798" s="1" t="n">
        <v>45210</v>
      </c>
      <c r="D4798" t="inlineStr">
        <is>
          <t>DALARNAS LÄN</t>
        </is>
      </c>
      <c r="E4798" t="inlineStr">
        <is>
          <t>FALUN</t>
        </is>
      </c>
      <c r="F4798" t="inlineStr">
        <is>
          <t>Allmännings- och besparingsskogar</t>
        </is>
      </c>
      <c r="G4798" t="n">
        <v>11.3</v>
      </c>
      <c r="H4798" t="n">
        <v>0</v>
      </c>
      <c r="I4798" t="n">
        <v>0</v>
      </c>
      <c r="J4798" t="n">
        <v>0</v>
      </c>
      <c r="K4798" t="n">
        <v>0</v>
      </c>
      <c r="L4798" t="n">
        <v>0</v>
      </c>
      <c r="M4798" t="n">
        <v>0</v>
      </c>
      <c r="N4798" t="n">
        <v>0</v>
      </c>
      <c r="O4798" t="n">
        <v>0</v>
      </c>
      <c r="P4798" t="n">
        <v>0</v>
      </c>
      <c r="Q4798" t="n">
        <v>0</v>
      </c>
      <c r="R4798" s="2" t="inlineStr"/>
    </row>
    <row r="4799" ht="15" customHeight="1">
      <c r="A4799" t="inlineStr">
        <is>
          <t>A 50564-2022</t>
        </is>
      </c>
      <c r="B4799" s="1" t="n">
        <v>44866</v>
      </c>
      <c r="C4799" s="1" t="n">
        <v>45210</v>
      </c>
      <c r="D4799" t="inlineStr">
        <is>
          <t>DALARNAS LÄN</t>
        </is>
      </c>
      <c r="E4799" t="inlineStr">
        <is>
          <t>SÄTER</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51354-2022</t>
        </is>
      </c>
      <c r="B4800" s="1" t="n">
        <v>44866</v>
      </c>
      <c r="C4800" s="1" t="n">
        <v>45210</v>
      </c>
      <c r="D4800" t="inlineStr">
        <is>
          <t>DALARNAS LÄN</t>
        </is>
      </c>
      <c r="E4800" t="inlineStr">
        <is>
          <t>RÄTTVIK</t>
        </is>
      </c>
      <c r="G4800" t="n">
        <v>6.6</v>
      </c>
      <c r="H4800" t="n">
        <v>0</v>
      </c>
      <c r="I4800" t="n">
        <v>0</v>
      </c>
      <c r="J4800" t="n">
        <v>0</v>
      </c>
      <c r="K4800" t="n">
        <v>0</v>
      </c>
      <c r="L4800" t="n">
        <v>0</v>
      </c>
      <c r="M4800" t="n">
        <v>0</v>
      </c>
      <c r="N4800" t="n">
        <v>0</v>
      </c>
      <c r="O4800" t="n">
        <v>0</v>
      </c>
      <c r="P4800" t="n">
        <v>0</v>
      </c>
      <c r="Q4800" t="n">
        <v>0</v>
      </c>
      <c r="R4800" s="2" t="inlineStr"/>
    </row>
    <row r="4801" ht="15" customHeight="1">
      <c r="A4801" t="inlineStr">
        <is>
          <t>A 50354-2022</t>
        </is>
      </c>
      <c r="B4801" s="1" t="n">
        <v>44866</v>
      </c>
      <c r="C4801" s="1" t="n">
        <v>45210</v>
      </c>
      <c r="D4801" t="inlineStr">
        <is>
          <t>DALARNAS LÄN</t>
        </is>
      </c>
      <c r="E4801" t="inlineStr">
        <is>
          <t>LEKSAND</t>
        </is>
      </c>
      <c r="F4801" t="inlineStr">
        <is>
          <t>Bergvik skog väst AB</t>
        </is>
      </c>
      <c r="G4801" t="n">
        <v>7.4</v>
      </c>
      <c r="H4801" t="n">
        <v>0</v>
      </c>
      <c r="I4801" t="n">
        <v>0</v>
      </c>
      <c r="J4801" t="n">
        <v>0</v>
      </c>
      <c r="K4801" t="n">
        <v>0</v>
      </c>
      <c r="L4801" t="n">
        <v>0</v>
      </c>
      <c r="M4801" t="n">
        <v>0</v>
      </c>
      <c r="N4801" t="n">
        <v>0</v>
      </c>
      <c r="O4801" t="n">
        <v>0</v>
      </c>
      <c r="P4801" t="n">
        <v>0</v>
      </c>
      <c r="Q4801" t="n">
        <v>0</v>
      </c>
      <c r="R4801" s="2" t="inlineStr"/>
    </row>
    <row r="4802" ht="15" customHeight="1">
      <c r="A4802" t="inlineStr">
        <is>
          <t>A 50474-2022</t>
        </is>
      </c>
      <c r="B4802" s="1" t="n">
        <v>44866</v>
      </c>
      <c r="C4802" s="1" t="n">
        <v>45210</v>
      </c>
      <c r="D4802" t="inlineStr">
        <is>
          <t>DALARNAS LÄN</t>
        </is>
      </c>
      <c r="E4802" t="inlineStr">
        <is>
          <t>ORSA</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50353-2022</t>
        </is>
      </c>
      <c r="B4803" s="1" t="n">
        <v>44866</v>
      </c>
      <c r="C4803" s="1" t="n">
        <v>45210</v>
      </c>
      <c r="D4803" t="inlineStr">
        <is>
          <t>DALARNAS LÄN</t>
        </is>
      </c>
      <c r="E4803" t="inlineStr">
        <is>
          <t>LEKSAND</t>
        </is>
      </c>
      <c r="F4803" t="inlineStr">
        <is>
          <t>Bergvik skog väst AB</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50464-2022</t>
        </is>
      </c>
      <c r="B4804" s="1" t="n">
        <v>44866</v>
      </c>
      <c r="C4804" s="1" t="n">
        <v>45210</v>
      </c>
      <c r="D4804" t="inlineStr">
        <is>
          <t>DALARNAS LÄN</t>
        </is>
      </c>
      <c r="E4804" t="inlineStr">
        <is>
          <t>ÄLVDALEN</t>
        </is>
      </c>
      <c r="F4804" t="inlineStr">
        <is>
          <t>Bergvik skog öst AB</t>
        </is>
      </c>
      <c r="G4804" t="n">
        <v>21</v>
      </c>
      <c r="H4804" t="n">
        <v>0</v>
      </c>
      <c r="I4804" t="n">
        <v>0</v>
      </c>
      <c r="J4804" t="n">
        <v>0</v>
      </c>
      <c r="K4804" t="n">
        <v>0</v>
      </c>
      <c r="L4804" t="n">
        <v>0</v>
      </c>
      <c r="M4804" t="n">
        <v>0</v>
      </c>
      <c r="N4804" t="n">
        <v>0</v>
      </c>
      <c r="O4804" t="n">
        <v>0</v>
      </c>
      <c r="P4804" t="n">
        <v>0</v>
      </c>
      <c r="Q4804" t="n">
        <v>0</v>
      </c>
      <c r="R4804" s="2" t="inlineStr"/>
    </row>
    <row r="4805" ht="15" customHeight="1">
      <c r="A4805" t="inlineStr">
        <is>
          <t>A 50719-2022</t>
        </is>
      </c>
      <c r="B4805" s="1" t="n">
        <v>44867</v>
      </c>
      <c r="C4805" s="1" t="n">
        <v>45210</v>
      </c>
      <c r="D4805" t="inlineStr">
        <is>
          <t>DALARNAS LÄN</t>
        </is>
      </c>
      <c r="E4805" t="inlineStr">
        <is>
          <t>MORA</t>
        </is>
      </c>
      <c r="G4805" t="n">
        <v>2.4</v>
      </c>
      <c r="H4805" t="n">
        <v>0</v>
      </c>
      <c r="I4805" t="n">
        <v>0</v>
      </c>
      <c r="J4805" t="n">
        <v>0</v>
      </c>
      <c r="K4805" t="n">
        <v>0</v>
      </c>
      <c r="L4805" t="n">
        <v>0</v>
      </c>
      <c r="M4805" t="n">
        <v>0</v>
      </c>
      <c r="N4805" t="n">
        <v>0</v>
      </c>
      <c r="O4805" t="n">
        <v>0</v>
      </c>
      <c r="P4805" t="n">
        <v>0</v>
      </c>
      <c r="Q4805" t="n">
        <v>0</v>
      </c>
      <c r="R4805" s="2" t="inlineStr"/>
    </row>
    <row r="4806" ht="15" customHeight="1">
      <c r="A4806" t="inlineStr">
        <is>
          <t>A 50736-2022</t>
        </is>
      </c>
      <c r="B4806" s="1" t="n">
        <v>44867</v>
      </c>
      <c r="C4806" s="1" t="n">
        <v>45210</v>
      </c>
      <c r="D4806" t="inlineStr">
        <is>
          <t>DALARNAS LÄN</t>
        </is>
      </c>
      <c r="E4806" t="inlineStr">
        <is>
          <t>VANSBRO</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50774-2022</t>
        </is>
      </c>
      <c r="B4807" s="1" t="n">
        <v>44867</v>
      </c>
      <c r="C4807" s="1" t="n">
        <v>45210</v>
      </c>
      <c r="D4807" t="inlineStr">
        <is>
          <t>DALARNAS LÄN</t>
        </is>
      </c>
      <c r="E4807" t="inlineStr">
        <is>
          <t>ÄLVDALEN</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51857-2022</t>
        </is>
      </c>
      <c r="B4808" s="1" t="n">
        <v>44867</v>
      </c>
      <c r="C4808" s="1" t="n">
        <v>45210</v>
      </c>
      <c r="D4808" t="inlineStr">
        <is>
          <t>DALARNAS LÄN</t>
        </is>
      </c>
      <c r="E4808" t="inlineStr">
        <is>
          <t>LEKSAND</t>
        </is>
      </c>
      <c r="G4808" t="n">
        <v>1.2</v>
      </c>
      <c r="H4808" t="n">
        <v>0</v>
      </c>
      <c r="I4808" t="n">
        <v>0</v>
      </c>
      <c r="J4808" t="n">
        <v>0</v>
      </c>
      <c r="K4808" t="n">
        <v>0</v>
      </c>
      <c r="L4808" t="n">
        <v>0</v>
      </c>
      <c r="M4808" t="n">
        <v>0</v>
      </c>
      <c r="N4808" t="n">
        <v>0</v>
      </c>
      <c r="O4808" t="n">
        <v>0</v>
      </c>
      <c r="P4808" t="n">
        <v>0</v>
      </c>
      <c r="Q4808" t="n">
        <v>0</v>
      </c>
      <c r="R4808" s="2" t="inlineStr"/>
    </row>
    <row r="4809" ht="15" customHeight="1">
      <c r="A4809" t="inlineStr">
        <is>
          <t>A 50893-2022</t>
        </is>
      </c>
      <c r="B4809" s="1" t="n">
        <v>44867</v>
      </c>
      <c r="C4809" s="1" t="n">
        <v>45210</v>
      </c>
      <c r="D4809" t="inlineStr">
        <is>
          <t>DALARNAS LÄN</t>
        </is>
      </c>
      <c r="E4809" t="inlineStr">
        <is>
          <t>GAGNEF</t>
        </is>
      </c>
      <c r="G4809" t="n">
        <v>0.5</v>
      </c>
      <c r="H4809" t="n">
        <v>0</v>
      </c>
      <c r="I4809" t="n">
        <v>0</v>
      </c>
      <c r="J4809" t="n">
        <v>0</v>
      </c>
      <c r="K4809" t="n">
        <v>0</v>
      </c>
      <c r="L4809" t="n">
        <v>0</v>
      </c>
      <c r="M4809" t="n">
        <v>0</v>
      </c>
      <c r="N4809" t="n">
        <v>0</v>
      </c>
      <c r="O4809" t="n">
        <v>0</v>
      </c>
      <c r="P4809" t="n">
        <v>0</v>
      </c>
      <c r="Q4809" t="n">
        <v>0</v>
      </c>
      <c r="R4809" s="2" t="inlineStr"/>
    </row>
    <row r="4810" ht="15" customHeight="1">
      <c r="A4810" t="inlineStr">
        <is>
          <t>A 51789-2022</t>
        </is>
      </c>
      <c r="B4810" s="1" t="n">
        <v>44867</v>
      </c>
      <c r="C4810" s="1" t="n">
        <v>45210</v>
      </c>
      <c r="D4810" t="inlineStr">
        <is>
          <t>DALARNAS LÄN</t>
        </is>
      </c>
      <c r="E4810" t="inlineStr">
        <is>
          <t>AVESTA</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50728-2022</t>
        </is>
      </c>
      <c r="B4811" s="1" t="n">
        <v>44867</v>
      </c>
      <c r="C4811" s="1" t="n">
        <v>45210</v>
      </c>
      <c r="D4811" t="inlineStr">
        <is>
          <t>DALARNAS LÄN</t>
        </is>
      </c>
      <c r="E4811" t="inlineStr">
        <is>
          <t>ORSA</t>
        </is>
      </c>
      <c r="F4811" t="inlineStr">
        <is>
          <t>Allmännings- och besparingsskogar</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51623-2022</t>
        </is>
      </c>
      <c r="B4812" s="1" t="n">
        <v>44867</v>
      </c>
      <c r="C4812" s="1" t="n">
        <v>45210</v>
      </c>
      <c r="D4812" t="inlineStr">
        <is>
          <t>DALARNAS LÄN</t>
        </is>
      </c>
      <c r="E4812" t="inlineStr">
        <is>
          <t>MALUNG-SÄLEN</t>
        </is>
      </c>
      <c r="G4812" t="n">
        <v>5.1</v>
      </c>
      <c r="H4812" t="n">
        <v>0</v>
      </c>
      <c r="I4812" t="n">
        <v>0</v>
      </c>
      <c r="J4812" t="n">
        <v>0</v>
      </c>
      <c r="K4812" t="n">
        <v>0</v>
      </c>
      <c r="L4812" t="n">
        <v>0</v>
      </c>
      <c r="M4812" t="n">
        <v>0</v>
      </c>
      <c r="N4812" t="n">
        <v>0</v>
      </c>
      <c r="O4812" t="n">
        <v>0</v>
      </c>
      <c r="P4812" t="n">
        <v>0</v>
      </c>
      <c r="Q4812" t="n">
        <v>0</v>
      </c>
      <c r="R4812" s="2" t="inlineStr"/>
    </row>
    <row r="4813" ht="15" customHeight="1">
      <c r="A4813" t="inlineStr">
        <is>
          <t>A 50862-2022</t>
        </is>
      </c>
      <c r="B4813" s="1" t="n">
        <v>44867</v>
      </c>
      <c r="C4813" s="1" t="n">
        <v>45210</v>
      </c>
      <c r="D4813" t="inlineStr">
        <is>
          <t>DALARNAS LÄN</t>
        </is>
      </c>
      <c r="E4813" t="inlineStr">
        <is>
          <t>LUDVIKA</t>
        </is>
      </c>
      <c r="F4813" t="inlineStr">
        <is>
          <t>Naturvårdsverket</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51675-2022</t>
        </is>
      </c>
      <c r="B4814" s="1" t="n">
        <v>44867</v>
      </c>
      <c r="C4814" s="1" t="n">
        <v>45210</v>
      </c>
      <c r="D4814" t="inlineStr">
        <is>
          <t>DALARNAS LÄN</t>
        </is>
      </c>
      <c r="E4814" t="inlineStr">
        <is>
          <t>MALUNG-SÄLEN</t>
        </is>
      </c>
      <c r="G4814" t="n">
        <v>0.1</v>
      </c>
      <c r="H4814" t="n">
        <v>0</v>
      </c>
      <c r="I4814" t="n">
        <v>0</v>
      </c>
      <c r="J4814" t="n">
        <v>0</v>
      </c>
      <c r="K4814" t="n">
        <v>0</v>
      </c>
      <c r="L4814" t="n">
        <v>0</v>
      </c>
      <c r="M4814" t="n">
        <v>0</v>
      </c>
      <c r="N4814" t="n">
        <v>0</v>
      </c>
      <c r="O4814" t="n">
        <v>0</v>
      </c>
      <c r="P4814" t="n">
        <v>0</v>
      </c>
      <c r="Q4814" t="n">
        <v>0</v>
      </c>
      <c r="R4814" s="2" t="inlineStr"/>
    </row>
    <row r="4815" ht="15" customHeight="1">
      <c r="A4815" t="inlineStr">
        <is>
          <t>A 51060-2022</t>
        </is>
      </c>
      <c r="B4815" s="1" t="n">
        <v>44868</v>
      </c>
      <c r="C4815" s="1" t="n">
        <v>45210</v>
      </c>
      <c r="D4815" t="inlineStr">
        <is>
          <t>DALARNAS LÄN</t>
        </is>
      </c>
      <c r="E4815" t="inlineStr">
        <is>
          <t>RÄTTVIK</t>
        </is>
      </c>
      <c r="G4815" t="n">
        <v>1</v>
      </c>
      <c r="H4815" t="n">
        <v>0</v>
      </c>
      <c r="I4815" t="n">
        <v>0</v>
      </c>
      <c r="J4815" t="n">
        <v>0</v>
      </c>
      <c r="K4815" t="n">
        <v>0</v>
      </c>
      <c r="L4815" t="n">
        <v>0</v>
      </c>
      <c r="M4815" t="n">
        <v>0</v>
      </c>
      <c r="N4815" t="n">
        <v>0</v>
      </c>
      <c r="O4815" t="n">
        <v>0</v>
      </c>
      <c r="P4815" t="n">
        <v>0</v>
      </c>
      <c r="Q4815" t="n">
        <v>0</v>
      </c>
      <c r="R4815" s="2" t="inlineStr"/>
    </row>
    <row r="4816" ht="15" customHeight="1">
      <c r="A4816" t="inlineStr">
        <is>
          <t>A 51179-2022</t>
        </is>
      </c>
      <c r="B4816" s="1" t="n">
        <v>44868</v>
      </c>
      <c r="C4816" s="1" t="n">
        <v>45210</v>
      </c>
      <c r="D4816" t="inlineStr">
        <is>
          <t>DALARNAS LÄN</t>
        </is>
      </c>
      <c r="E4816" t="inlineStr">
        <is>
          <t>GAGNEF</t>
        </is>
      </c>
      <c r="G4816" t="n">
        <v>9.5</v>
      </c>
      <c r="H4816" t="n">
        <v>0</v>
      </c>
      <c r="I4816" t="n">
        <v>0</v>
      </c>
      <c r="J4816" t="n">
        <v>0</v>
      </c>
      <c r="K4816" t="n">
        <v>0</v>
      </c>
      <c r="L4816" t="n">
        <v>0</v>
      </c>
      <c r="M4816" t="n">
        <v>0</v>
      </c>
      <c r="N4816" t="n">
        <v>0</v>
      </c>
      <c r="O4816" t="n">
        <v>0</v>
      </c>
      <c r="P4816" t="n">
        <v>0</v>
      </c>
      <c r="Q4816" t="n">
        <v>0</v>
      </c>
      <c r="R4816" s="2" t="inlineStr"/>
    </row>
    <row r="4817" ht="15" customHeight="1">
      <c r="A4817" t="inlineStr">
        <is>
          <t>A 51138-2022</t>
        </is>
      </c>
      <c r="B4817" s="1" t="n">
        <v>44868</v>
      </c>
      <c r="C4817" s="1" t="n">
        <v>45210</v>
      </c>
      <c r="D4817" t="inlineStr">
        <is>
          <t>DALARNAS LÄN</t>
        </is>
      </c>
      <c r="E4817" t="inlineStr">
        <is>
          <t>GAGNEF</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51193-2022</t>
        </is>
      </c>
      <c r="B4818" s="1" t="n">
        <v>44868</v>
      </c>
      <c r="C4818" s="1" t="n">
        <v>45210</v>
      </c>
      <c r="D4818" t="inlineStr">
        <is>
          <t>DALARNAS LÄN</t>
        </is>
      </c>
      <c r="E4818" t="inlineStr">
        <is>
          <t>ÄLVDALEN</t>
        </is>
      </c>
      <c r="F4818" t="inlineStr">
        <is>
          <t>Övriga Aktiebolag</t>
        </is>
      </c>
      <c r="G4818" t="n">
        <v>17.7</v>
      </c>
      <c r="H4818" t="n">
        <v>0</v>
      </c>
      <c r="I4818" t="n">
        <v>0</v>
      </c>
      <c r="J4818" t="n">
        <v>0</v>
      </c>
      <c r="K4818" t="n">
        <v>0</v>
      </c>
      <c r="L4818" t="n">
        <v>0</v>
      </c>
      <c r="M4818" t="n">
        <v>0</v>
      </c>
      <c r="N4818" t="n">
        <v>0</v>
      </c>
      <c r="O4818" t="n">
        <v>0</v>
      </c>
      <c r="P4818" t="n">
        <v>0</v>
      </c>
      <c r="Q4818" t="n">
        <v>0</v>
      </c>
      <c r="R4818" s="2" t="inlineStr"/>
    </row>
    <row r="4819" ht="15" customHeight="1">
      <c r="A4819" t="inlineStr">
        <is>
          <t>A 51259-2022</t>
        </is>
      </c>
      <c r="B4819" s="1" t="n">
        <v>44868</v>
      </c>
      <c r="C4819" s="1" t="n">
        <v>45210</v>
      </c>
      <c r="D4819" t="inlineStr">
        <is>
          <t>DALARNAS LÄN</t>
        </is>
      </c>
      <c r="E4819" t="inlineStr">
        <is>
          <t>ÄLVDALEN</t>
        </is>
      </c>
      <c r="F4819" t="inlineStr">
        <is>
          <t>Övriga statliga verk och myndigheter</t>
        </is>
      </c>
      <c r="G4819" t="n">
        <v>9.300000000000001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51452-2022</t>
        </is>
      </c>
      <c r="B4820" s="1" t="n">
        <v>44869</v>
      </c>
      <c r="C4820" s="1" t="n">
        <v>45210</v>
      </c>
      <c r="D4820" t="inlineStr">
        <is>
          <t>DALARNAS LÄN</t>
        </is>
      </c>
      <c r="E4820" t="inlineStr">
        <is>
          <t>SÄTER</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51484-2022</t>
        </is>
      </c>
      <c r="B4821" s="1" t="n">
        <v>44869</v>
      </c>
      <c r="C4821" s="1" t="n">
        <v>45210</v>
      </c>
      <c r="D4821" t="inlineStr">
        <is>
          <t>DALARNAS LÄN</t>
        </is>
      </c>
      <c r="E4821" t="inlineStr">
        <is>
          <t>ÄLVDALEN</t>
        </is>
      </c>
      <c r="F4821" t="inlineStr">
        <is>
          <t>Sveaskog</t>
        </is>
      </c>
      <c r="G4821" t="n">
        <v>7</v>
      </c>
      <c r="H4821" t="n">
        <v>0</v>
      </c>
      <c r="I4821" t="n">
        <v>0</v>
      </c>
      <c r="J4821" t="n">
        <v>0</v>
      </c>
      <c r="K4821" t="n">
        <v>0</v>
      </c>
      <c r="L4821" t="n">
        <v>0</v>
      </c>
      <c r="M4821" t="n">
        <v>0</v>
      </c>
      <c r="N4821" t="n">
        <v>0</v>
      </c>
      <c r="O4821" t="n">
        <v>0</v>
      </c>
      <c r="P4821" t="n">
        <v>0</v>
      </c>
      <c r="Q4821" t="n">
        <v>0</v>
      </c>
      <c r="R4821" s="2" t="inlineStr"/>
    </row>
    <row r="4822" ht="15" customHeight="1">
      <c r="A4822" t="inlineStr">
        <is>
          <t>A 51498-2022</t>
        </is>
      </c>
      <c r="B4822" s="1" t="n">
        <v>44869</v>
      </c>
      <c r="C4822" s="1" t="n">
        <v>45210</v>
      </c>
      <c r="D4822" t="inlineStr">
        <is>
          <t>DALARNAS LÄN</t>
        </is>
      </c>
      <c r="E4822" t="inlineStr">
        <is>
          <t>LEKSAND</t>
        </is>
      </c>
      <c r="F4822" t="inlineStr">
        <is>
          <t>Bergvik skog väst AB</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51520-2022</t>
        </is>
      </c>
      <c r="B4823" s="1" t="n">
        <v>44869</v>
      </c>
      <c r="C4823" s="1" t="n">
        <v>45210</v>
      </c>
      <c r="D4823" t="inlineStr">
        <is>
          <t>DALARNAS LÄN</t>
        </is>
      </c>
      <c r="E4823" t="inlineStr">
        <is>
          <t>HEDEMORA</t>
        </is>
      </c>
      <c r="F4823" t="inlineStr">
        <is>
          <t>Sveaskog</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51395-2022</t>
        </is>
      </c>
      <c r="B4824" s="1" t="n">
        <v>44869</v>
      </c>
      <c r="C4824" s="1" t="n">
        <v>45210</v>
      </c>
      <c r="D4824" t="inlineStr">
        <is>
          <t>DALARNAS LÄN</t>
        </is>
      </c>
      <c r="E4824" t="inlineStr">
        <is>
          <t>ORSA</t>
        </is>
      </c>
      <c r="F4824" t="inlineStr">
        <is>
          <t>Kyrkan</t>
        </is>
      </c>
      <c r="G4824" t="n">
        <v>11.8</v>
      </c>
      <c r="H4824" t="n">
        <v>0</v>
      </c>
      <c r="I4824" t="n">
        <v>0</v>
      </c>
      <c r="J4824" t="n">
        <v>0</v>
      </c>
      <c r="K4824" t="n">
        <v>0</v>
      </c>
      <c r="L4824" t="n">
        <v>0</v>
      </c>
      <c r="M4824" t="n">
        <v>0</v>
      </c>
      <c r="N4824" t="n">
        <v>0</v>
      </c>
      <c r="O4824" t="n">
        <v>0</v>
      </c>
      <c r="P4824" t="n">
        <v>0</v>
      </c>
      <c r="Q4824" t="n">
        <v>0</v>
      </c>
      <c r="R4824" s="2" t="inlineStr"/>
    </row>
    <row r="4825" ht="15" customHeight="1">
      <c r="A4825" t="inlineStr">
        <is>
          <t>A 51502-2022</t>
        </is>
      </c>
      <c r="B4825" s="1" t="n">
        <v>44869</v>
      </c>
      <c r="C4825" s="1" t="n">
        <v>45210</v>
      </c>
      <c r="D4825" t="inlineStr">
        <is>
          <t>DALARNAS LÄN</t>
        </is>
      </c>
      <c r="E4825" t="inlineStr">
        <is>
          <t>LEKSAND</t>
        </is>
      </c>
      <c r="F4825" t="inlineStr">
        <is>
          <t>Bergvik skog väst AB</t>
        </is>
      </c>
      <c r="G4825" t="n">
        <v>2.4</v>
      </c>
      <c r="H4825" t="n">
        <v>0</v>
      </c>
      <c r="I4825" t="n">
        <v>0</v>
      </c>
      <c r="J4825" t="n">
        <v>0</v>
      </c>
      <c r="K4825" t="n">
        <v>0</v>
      </c>
      <c r="L4825" t="n">
        <v>0</v>
      </c>
      <c r="M4825" t="n">
        <v>0</v>
      </c>
      <c r="N4825" t="n">
        <v>0</v>
      </c>
      <c r="O4825" t="n">
        <v>0</v>
      </c>
      <c r="P4825" t="n">
        <v>0</v>
      </c>
      <c r="Q4825" t="n">
        <v>0</v>
      </c>
      <c r="R4825" s="2" t="inlineStr"/>
    </row>
    <row r="4826" ht="15" customHeight="1">
      <c r="A4826" t="inlineStr">
        <is>
          <t>A 51396-2022</t>
        </is>
      </c>
      <c r="B4826" s="1" t="n">
        <v>44869</v>
      </c>
      <c r="C4826" s="1" t="n">
        <v>45210</v>
      </c>
      <c r="D4826" t="inlineStr">
        <is>
          <t>DALARNAS LÄN</t>
        </is>
      </c>
      <c r="E4826" t="inlineStr">
        <is>
          <t>VANSBRO</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51483-2022</t>
        </is>
      </c>
      <c r="B4827" s="1" t="n">
        <v>44869</v>
      </c>
      <c r="C4827" s="1" t="n">
        <v>45210</v>
      </c>
      <c r="D4827" t="inlineStr">
        <is>
          <t>DALARNAS LÄN</t>
        </is>
      </c>
      <c r="E4827" t="inlineStr">
        <is>
          <t>ÄLVDALEN</t>
        </is>
      </c>
      <c r="F4827" t="inlineStr">
        <is>
          <t>Sveaskog</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51504-2022</t>
        </is>
      </c>
      <c r="B4828" s="1" t="n">
        <v>44869</v>
      </c>
      <c r="C4828" s="1" t="n">
        <v>45210</v>
      </c>
      <c r="D4828" t="inlineStr">
        <is>
          <t>DALARNAS LÄN</t>
        </is>
      </c>
      <c r="E4828" t="inlineStr">
        <is>
          <t>ÄLVDALEN</t>
        </is>
      </c>
      <c r="F4828" t="inlineStr">
        <is>
          <t>Sveaskog</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52278-2022</t>
        </is>
      </c>
      <c r="B4829" s="1" t="n">
        <v>44869</v>
      </c>
      <c r="C4829" s="1" t="n">
        <v>45210</v>
      </c>
      <c r="D4829" t="inlineStr">
        <is>
          <t>DALARNAS LÄN</t>
        </is>
      </c>
      <c r="E4829" t="inlineStr">
        <is>
          <t>BORLÄNGE</t>
        </is>
      </c>
      <c r="G4829" t="n">
        <v>1.2</v>
      </c>
      <c r="H4829" t="n">
        <v>0</v>
      </c>
      <c r="I4829" t="n">
        <v>0</v>
      </c>
      <c r="J4829" t="n">
        <v>0</v>
      </c>
      <c r="K4829" t="n">
        <v>0</v>
      </c>
      <c r="L4829" t="n">
        <v>0</v>
      </c>
      <c r="M4829" t="n">
        <v>0</v>
      </c>
      <c r="N4829" t="n">
        <v>0</v>
      </c>
      <c r="O4829" t="n">
        <v>0</v>
      </c>
      <c r="P4829" t="n">
        <v>0</v>
      </c>
      <c r="Q4829" t="n">
        <v>0</v>
      </c>
      <c r="R4829" s="2" t="inlineStr"/>
    </row>
    <row r="4830" ht="15" customHeight="1">
      <c r="A4830" t="inlineStr">
        <is>
          <t>A 51405-2022</t>
        </is>
      </c>
      <c r="B4830" s="1" t="n">
        <v>44869</v>
      </c>
      <c r="C4830" s="1" t="n">
        <v>45210</v>
      </c>
      <c r="D4830" t="inlineStr">
        <is>
          <t>DALARNAS LÄN</t>
        </is>
      </c>
      <c r="E4830" t="inlineStr">
        <is>
          <t>SÄTER</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52303-2022</t>
        </is>
      </c>
      <c r="B4831" s="1" t="n">
        <v>44869</v>
      </c>
      <c r="C4831" s="1" t="n">
        <v>45210</v>
      </c>
      <c r="D4831" t="inlineStr">
        <is>
          <t>DALARNAS LÄN</t>
        </is>
      </c>
      <c r="E4831" t="inlineStr">
        <is>
          <t>LUDVIKA</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51866-2022</t>
        </is>
      </c>
      <c r="B4832" s="1" t="n">
        <v>44872</v>
      </c>
      <c r="C4832" s="1" t="n">
        <v>45210</v>
      </c>
      <c r="D4832" t="inlineStr">
        <is>
          <t>DALARNAS LÄN</t>
        </is>
      </c>
      <c r="E4832" t="inlineStr">
        <is>
          <t>SMEDJEBACKEN</t>
        </is>
      </c>
      <c r="F4832" t="inlineStr">
        <is>
          <t>Sveaskog</t>
        </is>
      </c>
      <c r="G4832" t="n">
        <v>10.5</v>
      </c>
      <c r="H4832" t="n">
        <v>0</v>
      </c>
      <c r="I4832" t="n">
        <v>0</v>
      </c>
      <c r="J4832" t="n">
        <v>0</v>
      </c>
      <c r="K4832" t="n">
        <v>0</v>
      </c>
      <c r="L4832" t="n">
        <v>0</v>
      </c>
      <c r="M4832" t="n">
        <v>0</v>
      </c>
      <c r="N4832" t="n">
        <v>0</v>
      </c>
      <c r="O4832" t="n">
        <v>0</v>
      </c>
      <c r="P4832" t="n">
        <v>0</v>
      </c>
      <c r="Q4832" t="n">
        <v>0</v>
      </c>
      <c r="R4832" s="2" t="inlineStr"/>
    </row>
    <row r="4833" ht="15" customHeight="1">
      <c r="A4833" t="inlineStr">
        <is>
          <t>A 51973-2022</t>
        </is>
      </c>
      <c r="B4833" s="1" t="n">
        <v>44872</v>
      </c>
      <c r="C4833" s="1" t="n">
        <v>45210</v>
      </c>
      <c r="D4833" t="inlineStr">
        <is>
          <t>DALARNAS LÄN</t>
        </is>
      </c>
      <c r="E4833" t="inlineStr">
        <is>
          <t>RÄTTVIK</t>
        </is>
      </c>
      <c r="G4833" t="n">
        <v>8</v>
      </c>
      <c r="H4833" t="n">
        <v>0</v>
      </c>
      <c r="I4833" t="n">
        <v>0</v>
      </c>
      <c r="J4833" t="n">
        <v>0</v>
      </c>
      <c r="K4833" t="n">
        <v>0</v>
      </c>
      <c r="L4833" t="n">
        <v>0</v>
      </c>
      <c r="M4833" t="n">
        <v>0</v>
      </c>
      <c r="N4833" t="n">
        <v>0</v>
      </c>
      <c r="O4833" t="n">
        <v>0</v>
      </c>
      <c r="P4833" t="n">
        <v>0</v>
      </c>
      <c r="Q4833" t="n">
        <v>0</v>
      </c>
      <c r="R4833" s="2" t="inlineStr"/>
    </row>
    <row r="4834" ht="15" customHeight="1">
      <c r="A4834" t="inlineStr">
        <is>
          <t>A 51709-2022</t>
        </is>
      </c>
      <c r="B4834" s="1" t="n">
        <v>44872</v>
      </c>
      <c r="C4834" s="1" t="n">
        <v>45210</v>
      </c>
      <c r="D4834" t="inlineStr">
        <is>
          <t>DALARNAS LÄN</t>
        </is>
      </c>
      <c r="E4834" t="inlineStr">
        <is>
          <t>LUDVIKA</t>
        </is>
      </c>
      <c r="F4834" t="inlineStr">
        <is>
          <t>Bergvik skog väst AB</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51864-2022</t>
        </is>
      </c>
      <c r="B4835" s="1" t="n">
        <v>44872</v>
      </c>
      <c r="C4835" s="1" t="n">
        <v>45210</v>
      </c>
      <c r="D4835" t="inlineStr">
        <is>
          <t>DALARNAS LÄN</t>
        </is>
      </c>
      <c r="E4835" t="inlineStr">
        <is>
          <t>ORSA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51886-2022</t>
        </is>
      </c>
      <c r="B4836" s="1" t="n">
        <v>44872</v>
      </c>
      <c r="C4836" s="1" t="n">
        <v>45210</v>
      </c>
      <c r="D4836" t="inlineStr">
        <is>
          <t>DALARNAS LÄN</t>
        </is>
      </c>
      <c r="E4836" t="inlineStr">
        <is>
          <t>LUDVIKA</t>
        </is>
      </c>
      <c r="F4836" t="inlineStr">
        <is>
          <t>Bergvik skog väst AB</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52899-2022</t>
        </is>
      </c>
      <c r="B4837" s="1" t="n">
        <v>44872</v>
      </c>
      <c r="C4837" s="1" t="n">
        <v>45210</v>
      </c>
      <c r="D4837" t="inlineStr">
        <is>
          <t>DALARNAS LÄN</t>
        </is>
      </c>
      <c r="E4837" t="inlineStr">
        <is>
          <t>FALUN</t>
        </is>
      </c>
      <c r="G4837" t="n">
        <v>5</v>
      </c>
      <c r="H4837" t="n">
        <v>0</v>
      </c>
      <c r="I4837" t="n">
        <v>0</v>
      </c>
      <c r="J4837" t="n">
        <v>0</v>
      </c>
      <c r="K4837" t="n">
        <v>0</v>
      </c>
      <c r="L4837" t="n">
        <v>0</v>
      </c>
      <c r="M4837" t="n">
        <v>0</v>
      </c>
      <c r="N4837" t="n">
        <v>0</v>
      </c>
      <c r="O4837" t="n">
        <v>0</v>
      </c>
      <c r="P4837" t="n">
        <v>0</v>
      </c>
      <c r="Q4837" t="n">
        <v>0</v>
      </c>
      <c r="R4837" s="2" t="inlineStr"/>
    </row>
    <row r="4838" ht="15" customHeight="1">
      <c r="A4838" t="inlineStr">
        <is>
          <t>A 51775-2022</t>
        </is>
      </c>
      <c r="B4838" s="1" t="n">
        <v>44872</v>
      </c>
      <c r="C4838" s="1" t="n">
        <v>45210</v>
      </c>
      <c r="D4838" t="inlineStr">
        <is>
          <t>DALARNAS LÄN</t>
        </is>
      </c>
      <c r="E4838" t="inlineStr">
        <is>
          <t>FALUN</t>
        </is>
      </c>
      <c r="F4838" t="inlineStr">
        <is>
          <t>Bergvik skog väst AB</t>
        </is>
      </c>
      <c r="G4838" t="n">
        <v>7.5</v>
      </c>
      <c r="H4838" t="n">
        <v>0</v>
      </c>
      <c r="I4838" t="n">
        <v>0</v>
      </c>
      <c r="J4838" t="n">
        <v>0</v>
      </c>
      <c r="K4838" t="n">
        <v>0</v>
      </c>
      <c r="L4838" t="n">
        <v>0</v>
      </c>
      <c r="M4838" t="n">
        <v>0</v>
      </c>
      <c r="N4838" t="n">
        <v>0</v>
      </c>
      <c r="O4838" t="n">
        <v>0</v>
      </c>
      <c r="P4838" t="n">
        <v>0</v>
      </c>
      <c r="Q4838" t="n">
        <v>0</v>
      </c>
      <c r="R4838" s="2" t="inlineStr"/>
    </row>
    <row r="4839" ht="15" customHeight="1">
      <c r="A4839" t="inlineStr">
        <is>
          <t>A 51870-2022</t>
        </is>
      </c>
      <c r="B4839" s="1" t="n">
        <v>44872</v>
      </c>
      <c r="C4839" s="1" t="n">
        <v>45210</v>
      </c>
      <c r="D4839" t="inlineStr">
        <is>
          <t>DALARNAS LÄN</t>
        </is>
      </c>
      <c r="E4839" t="inlineStr">
        <is>
          <t>FALUN</t>
        </is>
      </c>
      <c r="F4839" t="inlineStr">
        <is>
          <t>Bergvik skog väst AB</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52103-2022</t>
        </is>
      </c>
      <c r="B4840" s="1" t="n">
        <v>44873</v>
      </c>
      <c r="C4840" s="1" t="n">
        <v>45210</v>
      </c>
      <c r="D4840" t="inlineStr">
        <is>
          <t>DALARNAS LÄN</t>
        </is>
      </c>
      <c r="E4840" t="inlineStr">
        <is>
          <t>FALUN</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52119-2022</t>
        </is>
      </c>
      <c r="B4841" s="1" t="n">
        <v>44873</v>
      </c>
      <c r="C4841" s="1" t="n">
        <v>45210</v>
      </c>
      <c r="D4841" t="inlineStr">
        <is>
          <t>DALARNAS LÄN</t>
        </is>
      </c>
      <c r="E4841" t="inlineStr">
        <is>
          <t>VANSBRO</t>
        </is>
      </c>
      <c r="G4841" t="n">
        <v>1.7</v>
      </c>
      <c r="H4841" t="n">
        <v>0</v>
      </c>
      <c r="I4841" t="n">
        <v>0</v>
      </c>
      <c r="J4841" t="n">
        <v>0</v>
      </c>
      <c r="K4841" t="n">
        <v>0</v>
      </c>
      <c r="L4841" t="n">
        <v>0</v>
      </c>
      <c r="M4841" t="n">
        <v>0</v>
      </c>
      <c r="N4841" t="n">
        <v>0</v>
      </c>
      <c r="O4841" t="n">
        <v>0</v>
      </c>
      <c r="P4841" t="n">
        <v>0</v>
      </c>
      <c r="Q4841" t="n">
        <v>0</v>
      </c>
      <c r="R4841" s="2" t="inlineStr"/>
    </row>
    <row r="4842" ht="15" customHeight="1">
      <c r="A4842" t="inlineStr">
        <is>
          <t>A 52281-2022</t>
        </is>
      </c>
      <c r="B4842" s="1" t="n">
        <v>44873</v>
      </c>
      <c r="C4842" s="1" t="n">
        <v>45210</v>
      </c>
      <c r="D4842" t="inlineStr">
        <is>
          <t>DALARNAS LÄN</t>
        </is>
      </c>
      <c r="E4842" t="inlineStr">
        <is>
          <t>RÄTTVIK</t>
        </is>
      </c>
      <c r="G4842" t="n">
        <v>1.6</v>
      </c>
      <c r="H4842" t="n">
        <v>0</v>
      </c>
      <c r="I4842" t="n">
        <v>0</v>
      </c>
      <c r="J4842" t="n">
        <v>0</v>
      </c>
      <c r="K4842" t="n">
        <v>0</v>
      </c>
      <c r="L4842" t="n">
        <v>0</v>
      </c>
      <c r="M4842" t="n">
        <v>0</v>
      </c>
      <c r="N4842" t="n">
        <v>0</v>
      </c>
      <c r="O4842" t="n">
        <v>0</v>
      </c>
      <c r="P4842" t="n">
        <v>0</v>
      </c>
      <c r="Q4842" t="n">
        <v>0</v>
      </c>
      <c r="R4842" s="2" t="inlineStr"/>
    </row>
    <row r="4843" ht="15" customHeight="1">
      <c r="A4843" t="inlineStr">
        <is>
          <t>A 52114-2022</t>
        </is>
      </c>
      <c r="B4843" s="1" t="n">
        <v>44873</v>
      </c>
      <c r="C4843" s="1" t="n">
        <v>45210</v>
      </c>
      <c r="D4843" t="inlineStr">
        <is>
          <t>DALARNAS LÄN</t>
        </is>
      </c>
      <c r="E4843" t="inlineStr">
        <is>
          <t>RÄTTVIK</t>
        </is>
      </c>
      <c r="G4843" t="n">
        <v>9.1</v>
      </c>
      <c r="H4843" t="n">
        <v>0</v>
      </c>
      <c r="I4843" t="n">
        <v>0</v>
      </c>
      <c r="J4843" t="n">
        <v>0</v>
      </c>
      <c r="K4843" t="n">
        <v>0</v>
      </c>
      <c r="L4843" t="n">
        <v>0</v>
      </c>
      <c r="M4843" t="n">
        <v>0</v>
      </c>
      <c r="N4843" t="n">
        <v>0</v>
      </c>
      <c r="O4843" t="n">
        <v>0</v>
      </c>
      <c r="P4843" t="n">
        <v>0</v>
      </c>
      <c r="Q4843" t="n">
        <v>0</v>
      </c>
      <c r="R4843" s="2" t="inlineStr"/>
    </row>
    <row r="4844" ht="15" customHeight="1">
      <c r="A4844" t="inlineStr">
        <is>
          <t>A 52249-2022</t>
        </is>
      </c>
      <c r="B4844" s="1" t="n">
        <v>44873</v>
      </c>
      <c r="C4844" s="1" t="n">
        <v>45210</v>
      </c>
      <c r="D4844" t="inlineStr">
        <is>
          <t>DALARNAS LÄN</t>
        </is>
      </c>
      <c r="E4844" t="inlineStr">
        <is>
          <t>ÄLVDALEN</t>
        </is>
      </c>
      <c r="F4844" t="inlineStr">
        <is>
          <t>Sveaskog</t>
        </is>
      </c>
      <c r="G4844" t="n">
        <v>0.4</v>
      </c>
      <c r="H4844" t="n">
        <v>0</v>
      </c>
      <c r="I4844" t="n">
        <v>0</v>
      </c>
      <c r="J4844" t="n">
        <v>0</v>
      </c>
      <c r="K4844" t="n">
        <v>0</v>
      </c>
      <c r="L4844" t="n">
        <v>0</v>
      </c>
      <c r="M4844" t="n">
        <v>0</v>
      </c>
      <c r="N4844" t="n">
        <v>0</v>
      </c>
      <c r="O4844" t="n">
        <v>0</v>
      </c>
      <c r="P4844" t="n">
        <v>0</v>
      </c>
      <c r="Q4844" t="n">
        <v>0</v>
      </c>
      <c r="R4844" s="2" t="inlineStr"/>
    </row>
    <row r="4845" ht="15" customHeight="1">
      <c r="A4845" t="inlineStr">
        <is>
          <t>A 52083-2022</t>
        </is>
      </c>
      <c r="B4845" s="1" t="n">
        <v>44873</v>
      </c>
      <c r="C4845" s="1" t="n">
        <v>45210</v>
      </c>
      <c r="D4845" t="inlineStr">
        <is>
          <t>DALARNAS LÄN</t>
        </is>
      </c>
      <c r="E4845" t="inlineStr">
        <is>
          <t>FALUN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52116-2022</t>
        </is>
      </c>
      <c r="B4846" s="1" t="n">
        <v>44873</v>
      </c>
      <c r="C4846" s="1" t="n">
        <v>45210</v>
      </c>
      <c r="D4846" t="inlineStr">
        <is>
          <t>DALARNAS LÄN</t>
        </is>
      </c>
      <c r="E4846" t="inlineStr">
        <is>
          <t>FALUN</t>
        </is>
      </c>
      <c r="G4846" t="n">
        <v>3.3</v>
      </c>
      <c r="H4846" t="n">
        <v>0</v>
      </c>
      <c r="I4846" t="n">
        <v>0</v>
      </c>
      <c r="J4846" t="n">
        <v>0</v>
      </c>
      <c r="K4846" t="n">
        <v>0</v>
      </c>
      <c r="L4846" t="n">
        <v>0</v>
      </c>
      <c r="M4846" t="n">
        <v>0</v>
      </c>
      <c r="N4846" t="n">
        <v>0</v>
      </c>
      <c r="O4846" t="n">
        <v>0</v>
      </c>
      <c r="P4846" t="n">
        <v>0</v>
      </c>
      <c r="Q4846" t="n">
        <v>0</v>
      </c>
      <c r="R4846" s="2" t="inlineStr"/>
    </row>
    <row r="4847" ht="15" customHeight="1">
      <c r="A4847" t="inlineStr">
        <is>
          <t>A 52127-2022</t>
        </is>
      </c>
      <c r="B4847" s="1" t="n">
        <v>44873</v>
      </c>
      <c r="C4847" s="1" t="n">
        <v>45210</v>
      </c>
      <c r="D4847" t="inlineStr">
        <is>
          <t>DALARNAS LÄN</t>
        </is>
      </c>
      <c r="E4847" t="inlineStr">
        <is>
          <t>SMEDJEBACKEN</t>
        </is>
      </c>
      <c r="G4847" t="n">
        <v>4.3</v>
      </c>
      <c r="H4847" t="n">
        <v>0</v>
      </c>
      <c r="I4847" t="n">
        <v>0</v>
      </c>
      <c r="J4847" t="n">
        <v>0</v>
      </c>
      <c r="K4847" t="n">
        <v>0</v>
      </c>
      <c r="L4847" t="n">
        <v>0</v>
      </c>
      <c r="M4847" t="n">
        <v>0</v>
      </c>
      <c r="N4847" t="n">
        <v>0</v>
      </c>
      <c r="O4847" t="n">
        <v>0</v>
      </c>
      <c r="P4847" t="n">
        <v>0</v>
      </c>
      <c r="Q4847" t="n">
        <v>0</v>
      </c>
      <c r="R4847" s="2" t="inlineStr"/>
    </row>
    <row r="4848" ht="15" customHeight="1">
      <c r="A4848" t="inlineStr">
        <is>
          <t>A 52525-2022</t>
        </is>
      </c>
      <c r="B4848" s="1" t="n">
        <v>44874</v>
      </c>
      <c r="C4848" s="1" t="n">
        <v>45210</v>
      </c>
      <c r="D4848" t="inlineStr">
        <is>
          <t>DALARNAS LÄN</t>
        </is>
      </c>
      <c r="E4848" t="inlineStr">
        <is>
          <t>MORA</t>
        </is>
      </c>
      <c r="F4848" t="inlineStr">
        <is>
          <t>Bergvik skog öst AB</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52477-2022</t>
        </is>
      </c>
      <c r="B4849" s="1" t="n">
        <v>44874</v>
      </c>
      <c r="C4849" s="1" t="n">
        <v>45210</v>
      </c>
      <c r="D4849" t="inlineStr">
        <is>
          <t>DALARNAS LÄN</t>
        </is>
      </c>
      <c r="E4849" t="inlineStr">
        <is>
          <t>ÄLVDALEN</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52381-2022</t>
        </is>
      </c>
      <c r="B4850" s="1" t="n">
        <v>44874</v>
      </c>
      <c r="C4850" s="1" t="n">
        <v>45210</v>
      </c>
      <c r="D4850" t="inlineStr">
        <is>
          <t>DALARNAS LÄN</t>
        </is>
      </c>
      <c r="E4850" t="inlineStr">
        <is>
          <t>FALUN</t>
        </is>
      </c>
      <c r="G4850" t="n">
        <v>3.8</v>
      </c>
      <c r="H4850" t="n">
        <v>0</v>
      </c>
      <c r="I4850" t="n">
        <v>0</v>
      </c>
      <c r="J4850" t="n">
        <v>0</v>
      </c>
      <c r="K4850" t="n">
        <v>0</v>
      </c>
      <c r="L4850" t="n">
        <v>0</v>
      </c>
      <c r="M4850" t="n">
        <v>0</v>
      </c>
      <c r="N4850" t="n">
        <v>0</v>
      </c>
      <c r="O4850" t="n">
        <v>0</v>
      </c>
      <c r="P4850" t="n">
        <v>0</v>
      </c>
      <c r="Q4850" t="n">
        <v>0</v>
      </c>
      <c r="R4850" s="2" t="inlineStr"/>
    </row>
    <row r="4851" ht="15" customHeight="1">
      <c r="A4851" t="inlineStr">
        <is>
          <t>A 52469-2022</t>
        </is>
      </c>
      <c r="B4851" s="1" t="n">
        <v>44874</v>
      </c>
      <c r="C4851" s="1" t="n">
        <v>45210</v>
      </c>
      <c r="D4851" t="inlineStr">
        <is>
          <t>DALARNAS LÄN</t>
        </is>
      </c>
      <c r="E4851" t="inlineStr">
        <is>
          <t>ÄLVDALEN</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52412-2022</t>
        </is>
      </c>
      <c r="B4852" s="1" t="n">
        <v>44874</v>
      </c>
      <c r="C4852" s="1" t="n">
        <v>45210</v>
      </c>
      <c r="D4852" t="inlineStr">
        <is>
          <t>DALARNAS LÄN</t>
        </is>
      </c>
      <c r="E4852" t="inlineStr">
        <is>
          <t>RÄTTVIK</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52939-2022</t>
        </is>
      </c>
      <c r="B4853" s="1" t="n">
        <v>44875</v>
      </c>
      <c r="C4853" s="1" t="n">
        <v>45210</v>
      </c>
      <c r="D4853" t="inlineStr">
        <is>
          <t>DALARNAS LÄN</t>
        </is>
      </c>
      <c r="E4853" t="inlineStr">
        <is>
          <t>RÄTTVIK</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52977-2022</t>
        </is>
      </c>
      <c r="B4854" s="1" t="n">
        <v>44875</v>
      </c>
      <c r="C4854" s="1" t="n">
        <v>45210</v>
      </c>
      <c r="D4854" t="inlineStr">
        <is>
          <t>DALARNAS LÄN</t>
        </is>
      </c>
      <c r="E4854" t="inlineStr">
        <is>
          <t>LEKSAND</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52815-2022</t>
        </is>
      </c>
      <c r="B4855" s="1" t="n">
        <v>44875</v>
      </c>
      <c r="C4855" s="1" t="n">
        <v>45210</v>
      </c>
      <c r="D4855" t="inlineStr">
        <is>
          <t>DALARNAS LÄN</t>
        </is>
      </c>
      <c r="E4855" t="inlineStr">
        <is>
          <t>GAGNEF</t>
        </is>
      </c>
      <c r="G4855" t="n">
        <v>9.9</v>
      </c>
      <c r="H4855" t="n">
        <v>0</v>
      </c>
      <c r="I4855" t="n">
        <v>0</v>
      </c>
      <c r="J4855" t="n">
        <v>0</v>
      </c>
      <c r="K4855" t="n">
        <v>0</v>
      </c>
      <c r="L4855" t="n">
        <v>0</v>
      </c>
      <c r="M4855" t="n">
        <v>0</v>
      </c>
      <c r="N4855" t="n">
        <v>0</v>
      </c>
      <c r="O4855" t="n">
        <v>0</v>
      </c>
      <c r="P4855" t="n">
        <v>0</v>
      </c>
      <c r="Q4855" t="n">
        <v>0</v>
      </c>
      <c r="R4855" s="2" t="inlineStr"/>
    </row>
    <row r="4856" ht="15" customHeight="1">
      <c r="A4856" t="inlineStr">
        <is>
          <t>A 52965-2022</t>
        </is>
      </c>
      <c r="B4856" s="1" t="n">
        <v>44875</v>
      </c>
      <c r="C4856" s="1" t="n">
        <v>45210</v>
      </c>
      <c r="D4856" t="inlineStr">
        <is>
          <t>DALARNAS LÄN</t>
        </is>
      </c>
      <c r="E4856" t="inlineStr">
        <is>
          <t>ÄLVDALEN</t>
        </is>
      </c>
      <c r="F4856" t="inlineStr">
        <is>
          <t>Övriga statliga verk och myndigheter</t>
        </is>
      </c>
      <c r="G4856" t="n">
        <v>8.4</v>
      </c>
      <c r="H4856" t="n">
        <v>0</v>
      </c>
      <c r="I4856" t="n">
        <v>0</v>
      </c>
      <c r="J4856" t="n">
        <v>0</v>
      </c>
      <c r="K4856" t="n">
        <v>0</v>
      </c>
      <c r="L4856" t="n">
        <v>0</v>
      </c>
      <c r="M4856" t="n">
        <v>0</v>
      </c>
      <c r="N4856" t="n">
        <v>0</v>
      </c>
      <c r="O4856" t="n">
        <v>0</v>
      </c>
      <c r="P4856" t="n">
        <v>0</v>
      </c>
      <c r="Q4856" t="n">
        <v>0</v>
      </c>
      <c r="R4856" s="2" t="inlineStr"/>
    </row>
    <row r="4857" ht="15" customHeight="1">
      <c r="A4857" t="inlineStr">
        <is>
          <t>A 52822-2022</t>
        </is>
      </c>
      <c r="B4857" s="1" t="n">
        <v>44875</v>
      </c>
      <c r="C4857" s="1" t="n">
        <v>45210</v>
      </c>
      <c r="D4857" t="inlineStr">
        <is>
          <t>DALARNAS LÄN</t>
        </is>
      </c>
      <c r="E4857" t="inlineStr">
        <is>
          <t>HEDEMORA</t>
        </is>
      </c>
      <c r="F4857" t="inlineStr">
        <is>
          <t>Sveaskog</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52964-2022</t>
        </is>
      </c>
      <c r="B4858" s="1" t="n">
        <v>44875</v>
      </c>
      <c r="C4858" s="1" t="n">
        <v>45210</v>
      </c>
      <c r="D4858" t="inlineStr">
        <is>
          <t>DALARNAS LÄN</t>
        </is>
      </c>
      <c r="E4858" t="inlineStr">
        <is>
          <t>MALUNG-SÄLEN</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53119-2022</t>
        </is>
      </c>
      <c r="B4859" s="1" t="n">
        <v>44876</v>
      </c>
      <c r="C4859" s="1" t="n">
        <v>45210</v>
      </c>
      <c r="D4859" t="inlineStr">
        <is>
          <t>DALARNAS LÄN</t>
        </is>
      </c>
      <c r="E4859" t="inlineStr">
        <is>
          <t>AVESTA</t>
        </is>
      </c>
      <c r="F4859" t="inlineStr">
        <is>
          <t>Kyrkan</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53127-2022</t>
        </is>
      </c>
      <c r="B4860" s="1" t="n">
        <v>44876</v>
      </c>
      <c r="C4860" s="1" t="n">
        <v>45210</v>
      </c>
      <c r="D4860" t="inlineStr">
        <is>
          <t>DALARNAS LÄN</t>
        </is>
      </c>
      <c r="E4860" t="inlineStr">
        <is>
          <t>SÄTER</t>
        </is>
      </c>
      <c r="F4860" t="inlineStr">
        <is>
          <t>Kyrkan</t>
        </is>
      </c>
      <c r="G4860" t="n">
        <v>8.5</v>
      </c>
      <c r="H4860" t="n">
        <v>0</v>
      </c>
      <c r="I4860" t="n">
        <v>0</v>
      </c>
      <c r="J4860" t="n">
        <v>0</v>
      </c>
      <c r="K4860" t="n">
        <v>0</v>
      </c>
      <c r="L4860" t="n">
        <v>0</v>
      </c>
      <c r="M4860" t="n">
        <v>0</v>
      </c>
      <c r="N4860" t="n">
        <v>0</v>
      </c>
      <c r="O4860" t="n">
        <v>0</v>
      </c>
      <c r="P4860" t="n">
        <v>0</v>
      </c>
      <c r="Q4860" t="n">
        <v>0</v>
      </c>
      <c r="R4860" s="2" t="inlineStr"/>
    </row>
    <row r="4861" ht="15" customHeight="1">
      <c r="A4861" t="inlineStr">
        <is>
          <t>A 53293-2022</t>
        </is>
      </c>
      <c r="B4861" s="1" t="n">
        <v>44877</v>
      </c>
      <c r="C4861" s="1" t="n">
        <v>45210</v>
      </c>
      <c r="D4861" t="inlineStr">
        <is>
          <t>DALARNAS LÄN</t>
        </is>
      </c>
      <c r="E4861" t="inlineStr">
        <is>
          <t>LEKSAND</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53509-2022</t>
        </is>
      </c>
      <c r="B4862" s="1" t="n">
        <v>44879</v>
      </c>
      <c r="C4862" s="1" t="n">
        <v>45210</v>
      </c>
      <c r="D4862" t="inlineStr">
        <is>
          <t>DALARNAS LÄN</t>
        </is>
      </c>
      <c r="E4862" t="inlineStr">
        <is>
          <t>LUDVIKA</t>
        </is>
      </c>
      <c r="F4862" t="inlineStr">
        <is>
          <t>Naturvårdsverket</t>
        </is>
      </c>
      <c r="G4862" t="n">
        <v>4.9</v>
      </c>
      <c r="H4862" t="n">
        <v>0</v>
      </c>
      <c r="I4862" t="n">
        <v>0</v>
      </c>
      <c r="J4862" t="n">
        <v>0</v>
      </c>
      <c r="K4862" t="n">
        <v>0</v>
      </c>
      <c r="L4862" t="n">
        <v>0</v>
      </c>
      <c r="M4862" t="n">
        <v>0</v>
      </c>
      <c r="N4862" t="n">
        <v>0</v>
      </c>
      <c r="O4862" t="n">
        <v>0</v>
      </c>
      <c r="P4862" t="n">
        <v>0</v>
      </c>
      <c r="Q4862" t="n">
        <v>0</v>
      </c>
      <c r="R4862" s="2" t="inlineStr"/>
    </row>
    <row r="4863" ht="15" customHeight="1">
      <c r="A4863" t="inlineStr">
        <is>
          <t>A 53544-2022</t>
        </is>
      </c>
      <c r="B4863" s="1" t="n">
        <v>44879</v>
      </c>
      <c r="C4863" s="1" t="n">
        <v>45210</v>
      </c>
      <c r="D4863" t="inlineStr">
        <is>
          <t>DALARNAS LÄN</t>
        </is>
      </c>
      <c r="E4863" t="inlineStr">
        <is>
          <t>BORLÄNGE</t>
        </is>
      </c>
      <c r="F4863" t="inlineStr">
        <is>
          <t>Bergvik skog väst AB</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53693-2022</t>
        </is>
      </c>
      <c r="B4864" s="1" t="n">
        <v>44880</v>
      </c>
      <c r="C4864" s="1" t="n">
        <v>45210</v>
      </c>
      <c r="D4864" t="inlineStr">
        <is>
          <t>DALARNAS LÄN</t>
        </is>
      </c>
      <c r="E4864" t="inlineStr">
        <is>
          <t>ORSA</t>
        </is>
      </c>
      <c r="F4864" t="inlineStr">
        <is>
          <t>Allmännings- och besparingsskogar</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53709-2022</t>
        </is>
      </c>
      <c r="B4865" s="1" t="n">
        <v>44880</v>
      </c>
      <c r="C4865" s="1" t="n">
        <v>45210</v>
      </c>
      <c r="D4865" t="inlineStr">
        <is>
          <t>DALARNAS LÄN</t>
        </is>
      </c>
      <c r="E4865" t="inlineStr">
        <is>
          <t>ORSA</t>
        </is>
      </c>
      <c r="F4865" t="inlineStr">
        <is>
          <t>Allmännings- och besparingsskogar</t>
        </is>
      </c>
      <c r="G4865" t="n">
        <v>3.3</v>
      </c>
      <c r="H4865" t="n">
        <v>0</v>
      </c>
      <c r="I4865" t="n">
        <v>0</v>
      </c>
      <c r="J4865" t="n">
        <v>0</v>
      </c>
      <c r="K4865" t="n">
        <v>0</v>
      </c>
      <c r="L4865" t="n">
        <v>0</v>
      </c>
      <c r="M4865" t="n">
        <v>0</v>
      </c>
      <c r="N4865" t="n">
        <v>0</v>
      </c>
      <c r="O4865" t="n">
        <v>0</v>
      </c>
      <c r="P4865" t="n">
        <v>0</v>
      </c>
      <c r="Q4865" t="n">
        <v>0</v>
      </c>
      <c r="R4865" s="2" t="inlineStr"/>
    </row>
    <row r="4866" ht="15" customHeight="1">
      <c r="A4866" t="inlineStr">
        <is>
          <t>A 53723-2022</t>
        </is>
      </c>
      <c r="B4866" s="1" t="n">
        <v>44880</v>
      </c>
      <c r="C4866" s="1" t="n">
        <v>45210</v>
      </c>
      <c r="D4866" t="inlineStr">
        <is>
          <t>DALARNAS LÄN</t>
        </is>
      </c>
      <c r="E4866" t="inlineStr">
        <is>
          <t>FALUN</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53704-2022</t>
        </is>
      </c>
      <c r="B4867" s="1" t="n">
        <v>44880</v>
      </c>
      <c r="C4867" s="1" t="n">
        <v>45210</v>
      </c>
      <c r="D4867" t="inlineStr">
        <is>
          <t>DALARNAS LÄN</t>
        </is>
      </c>
      <c r="E4867" t="inlineStr">
        <is>
          <t>ORSA</t>
        </is>
      </c>
      <c r="G4867" t="n">
        <v>9.699999999999999</v>
      </c>
      <c r="H4867" t="n">
        <v>0</v>
      </c>
      <c r="I4867" t="n">
        <v>0</v>
      </c>
      <c r="J4867" t="n">
        <v>0</v>
      </c>
      <c r="K4867" t="n">
        <v>0</v>
      </c>
      <c r="L4867" t="n">
        <v>0</v>
      </c>
      <c r="M4867" t="n">
        <v>0</v>
      </c>
      <c r="N4867" t="n">
        <v>0</v>
      </c>
      <c r="O4867" t="n">
        <v>0</v>
      </c>
      <c r="P4867" t="n">
        <v>0</v>
      </c>
      <c r="Q4867" t="n">
        <v>0</v>
      </c>
      <c r="R4867" s="2" t="inlineStr"/>
    </row>
    <row r="4868" ht="15" customHeight="1">
      <c r="A4868" t="inlineStr">
        <is>
          <t>A 53705-2022</t>
        </is>
      </c>
      <c r="B4868" s="1" t="n">
        <v>44880</v>
      </c>
      <c r="C4868" s="1" t="n">
        <v>45210</v>
      </c>
      <c r="D4868" t="inlineStr">
        <is>
          <t>DALARNAS LÄN</t>
        </is>
      </c>
      <c r="E4868" t="inlineStr">
        <is>
          <t>LUDVIKA</t>
        </is>
      </c>
      <c r="F4868" t="inlineStr">
        <is>
          <t>Bergvik skog väst AB</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54159-2022</t>
        </is>
      </c>
      <c r="B4869" s="1" t="n">
        <v>44881</v>
      </c>
      <c r="C4869" s="1" t="n">
        <v>45210</v>
      </c>
      <c r="D4869" t="inlineStr">
        <is>
          <t>DALARNAS LÄN</t>
        </is>
      </c>
      <c r="E4869" t="inlineStr">
        <is>
          <t>VANSBRO</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54197-2022</t>
        </is>
      </c>
      <c r="B4870" s="1" t="n">
        <v>44881</v>
      </c>
      <c r="C4870" s="1" t="n">
        <v>45210</v>
      </c>
      <c r="D4870" t="inlineStr">
        <is>
          <t>DALARNAS LÄN</t>
        </is>
      </c>
      <c r="E4870" t="inlineStr">
        <is>
          <t>HEDEMORA</t>
        </is>
      </c>
      <c r="F4870" t="inlineStr">
        <is>
          <t>Sveaskog</t>
        </is>
      </c>
      <c r="G4870" t="n">
        <v>2.6</v>
      </c>
      <c r="H4870" t="n">
        <v>0</v>
      </c>
      <c r="I4870" t="n">
        <v>0</v>
      </c>
      <c r="J4870" t="n">
        <v>0</v>
      </c>
      <c r="K4870" t="n">
        <v>0</v>
      </c>
      <c r="L4870" t="n">
        <v>0</v>
      </c>
      <c r="M4870" t="n">
        <v>0</v>
      </c>
      <c r="N4870" t="n">
        <v>0</v>
      </c>
      <c r="O4870" t="n">
        <v>0</v>
      </c>
      <c r="P4870" t="n">
        <v>0</v>
      </c>
      <c r="Q4870" t="n">
        <v>0</v>
      </c>
      <c r="R4870" s="2" t="inlineStr"/>
    </row>
    <row r="4871" ht="15" customHeight="1">
      <c r="A4871" t="inlineStr">
        <is>
          <t>A 54932-2022</t>
        </is>
      </c>
      <c r="B4871" s="1" t="n">
        <v>44881</v>
      </c>
      <c r="C4871" s="1" t="n">
        <v>45210</v>
      </c>
      <c r="D4871" t="inlineStr">
        <is>
          <t>DALARNAS LÄN</t>
        </is>
      </c>
      <c r="E4871" t="inlineStr">
        <is>
          <t>MALUNG-SÄLEN</t>
        </is>
      </c>
      <c r="G4871" t="n">
        <v>11.9</v>
      </c>
      <c r="H4871" t="n">
        <v>0</v>
      </c>
      <c r="I4871" t="n">
        <v>0</v>
      </c>
      <c r="J4871" t="n">
        <v>0</v>
      </c>
      <c r="K4871" t="n">
        <v>0</v>
      </c>
      <c r="L4871" t="n">
        <v>0</v>
      </c>
      <c r="M4871" t="n">
        <v>0</v>
      </c>
      <c r="N4871" t="n">
        <v>0</v>
      </c>
      <c r="O4871" t="n">
        <v>0</v>
      </c>
      <c r="P4871" t="n">
        <v>0</v>
      </c>
      <c r="Q4871" t="n">
        <v>0</v>
      </c>
      <c r="R4871" s="2" t="inlineStr"/>
    </row>
    <row r="4872" ht="15" customHeight="1">
      <c r="A4872" t="inlineStr">
        <is>
          <t>A 54241-2022</t>
        </is>
      </c>
      <c r="B4872" s="1" t="n">
        <v>44881</v>
      </c>
      <c r="C4872" s="1" t="n">
        <v>45210</v>
      </c>
      <c r="D4872" t="inlineStr">
        <is>
          <t>DALARNAS LÄN</t>
        </is>
      </c>
      <c r="E4872" t="inlineStr">
        <is>
          <t>MALUNG-SÄLEN</t>
        </is>
      </c>
      <c r="G4872" t="n">
        <v>7.6</v>
      </c>
      <c r="H4872" t="n">
        <v>0</v>
      </c>
      <c r="I4872" t="n">
        <v>0</v>
      </c>
      <c r="J4872" t="n">
        <v>0</v>
      </c>
      <c r="K4872" t="n">
        <v>0</v>
      </c>
      <c r="L4872" t="n">
        <v>0</v>
      </c>
      <c r="M4872" t="n">
        <v>0</v>
      </c>
      <c r="N4872" t="n">
        <v>0</v>
      </c>
      <c r="O4872" t="n">
        <v>0</v>
      </c>
      <c r="P4872" t="n">
        <v>0</v>
      </c>
      <c r="Q4872" t="n">
        <v>0</v>
      </c>
      <c r="R4872" s="2" t="inlineStr"/>
    </row>
    <row r="4873" ht="15" customHeight="1">
      <c r="A4873" t="inlineStr">
        <is>
          <t>A 54309-2022</t>
        </is>
      </c>
      <c r="B4873" s="1" t="n">
        <v>44882</v>
      </c>
      <c r="C4873" s="1" t="n">
        <v>45210</v>
      </c>
      <c r="D4873" t="inlineStr">
        <is>
          <t>DALARNAS LÄN</t>
        </is>
      </c>
      <c r="E4873" t="inlineStr">
        <is>
          <t>FALUN</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55379-2022</t>
        </is>
      </c>
      <c r="B4874" s="1" t="n">
        <v>44882</v>
      </c>
      <c r="C4874" s="1" t="n">
        <v>45210</v>
      </c>
      <c r="D4874" t="inlineStr">
        <is>
          <t>DALARNAS LÄN</t>
        </is>
      </c>
      <c r="E4874" t="inlineStr">
        <is>
          <t>RÄTTVIK</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54440-2022</t>
        </is>
      </c>
      <c r="B4875" s="1" t="n">
        <v>44882</v>
      </c>
      <c r="C4875" s="1" t="n">
        <v>45210</v>
      </c>
      <c r="D4875" t="inlineStr">
        <is>
          <t>DALARNAS LÄN</t>
        </is>
      </c>
      <c r="E4875" t="inlineStr">
        <is>
          <t>SÄTER</t>
        </is>
      </c>
      <c r="F4875" t="inlineStr">
        <is>
          <t>Bergvik skog väst AB</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54767-2022</t>
        </is>
      </c>
      <c r="B4876" s="1" t="n">
        <v>44883</v>
      </c>
      <c r="C4876" s="1" t="n">
        <v>45210</v>
      </c>
      <c r="D4876" t="inlineStr">
        <is>
          <t>DALARNAS LÄN</t>
        </is>
      </c>
      <c r="E4876" t="inlineStr">
        <is>
          <t>LUDVIKA</t>
        </is>
      </c>
      <c r="F4876" t="inlineStr">
        <is>
          <t>Bergvik skog väst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55680-2022</t>
        </is>
      </c>
      <c r="B4877" s="1" t="n">
        <v>44883</v>
      </c>
      <c r="C4877" s="1" t="n">
        <v>45210</v>
      </c>
      <c r="D4877" t="inlineStr">
        <is>
          <t>DALARNAS LÄN</t>
        </is>
      </c>
      <c r="E4877" t="inlineStr">
        <is>
          <t>SMEDJEBACKEN</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54730-2022</t>
        </is>
      </c>
      <c r="B4878" s="1" t="n">
        <v>44883</v>
      </c>
      <c r="C4878" s="1" t="n">
        <v>45210</v>
      </c>
      <c r="D4878" t="inlineStr">
        <is>
          <t>DALARNAS LÄN</t>
        </is>
      </c>
      <c r="E4878" t="inlineStr">
        <is>
          <t>LUDVIKA</t>
        </is>
      </c>
      <c r="F4878" t="inlineStr">
        <is>
          <t>Bergvik skog väst AB</t>
        </is>
      </c>
      <c r="G4878" t="n">
        <v>2.4</v>
      </c>
      <c r="H4878" t="n">
        <v>0</v>
      </c>
      <c r="I4878" t="n">
        <v>0</v>
      </c>
      <c r="J4878" t="n">
        <v>0</v>
      </c>
      <c r="K4878" t="n">
        <v>0</v>
      </c>
      <c r="L4878" t="n">
        <v>0</v>
      </c>
      <c r="M4878" t="n">
        <v>0</v>
      </c>
      <c r="N4878" t="n">
        <v>0</v>
      </c>
      <c r="O4878" t="n">
        <v>0</v>
      </c>
      <c r="P4878" t="n">
        <v>0</v>
      </c>
      <c r="Q4878" t="n">
        <v>0</v>
      </c>
      <c r="R4878" s="2" t="inlineStr"/>
    </row>
    <row r="4879" ht="15" customHeight="1">
      <c r="A4879" t="inlineStr">
        <is>
          <t>A 54742-2022</t>
        </is>
      </c>
      <c r="B4879" s="1" t="n">
        <v>44883</v>
      </c>
      <c r="C4879" s="1" t="n">
        <v>45210</v>
      </c>
      <c r="D4879" t="inlineStr">
        <is>
          <t>DALARNAS LÄN</t>
        </is>
      </c>
      <c r="E4879" t="inlineStr">
        <is>
          <t>GAGNEF</t>
        </is>
      </c>
      <c r="G4879" t="n">
        <v>2.9</v>
      </c>
      <c r="H4879" t="n">
        <v>0</v>
      </c>
      <c r="I4879" t="n">
        <v>0</v>
      </c>
      <c r="J4879" t="n">
        <v>0</v>
      </c>
      <c r="K4879" t="n">
        <v>0</v>
      </c>
      <c r="L4879" t="n">
        <v>0</v>
      </c>
      <c r="M4879" t="n">
        <v>0</v>
      </c>
      <c r="N4879" t="n">
        <v>0</v>
      </c>
      <c r="O4879" t="n">
        <v>0</v>
      </c>
      <c r="P4879" t="n">
        <v>0</v>
      </c>
      <c r="Q4879" t="n">
        <v>0</v>
      </c>
      <c r="R4879" s="2" t="inlineStr"/>
    </row>
    <row r="4880" ht="15" customHeight="1">
      <c r="A4880" t="inlineStr">
        <is>
          <t>A 54603-2022</t>
        </is>
      </c>
      <c r="B4880" s="1" t="n">
        <v>44883</v>
      </c>
      <c r="C4880" s="1" t="n">
        <v>45210</v>
      </c>
      <c r="D4880" t="inlineStr">
        <is>
          <t>DALARNAS LÄN</t>
        </is>
      </c>
      <c r="E4880" t="inlineStr">
        <is>
          <t>GAGNEF</t>
        </is>
      </c>
      <c r="F4880" t="inlineStr">
        <is>
          <t>Bergvik skog väst AB</t>
        </is>
      </c>
      <c r="G4880" t="n">
        <v>3.7</v>
      </c>
      <c r="H4880" t="n">
        <v>0</v>
      </c>
      <c r="I4880" t="n">
        <v>0</v>
      </c>
      <c r="J4880" t="n">
        <v>0</v>
      </c>
      <c r="K4880" t="n">
        <v>0</v>
      </c>
      <c r="L4880" t="n">
        <v>0</v>
      </c>
      <c r="M4880" t="n">
        <v>0</v>
      </c>
      <c r="N4880" t="n">
        <v>0</v>
      </c>
      <c r="O4880" t="n">
        <v>0</v>
      </c>
      <c r="P4880" t="n">
        <v>0</v>
      </c>
      <c r="Q4880" t="n">
        <v>0</v>
      </c>
      <c r="R4880" s="2" t="inlineStr"/>
    </row>
    <row r="4881" ht="15" customHeight="1">
      <c r="A4881" t="inlineStr">
        <is>
          <t>A 54739-2022</t>
        </is>
      </c>
      <c r="B4881" s="1" t="n">
        <v>44883</v>
      </c>
      <c r="C4881" s="1" t="n">
        <v>45210</v>
      </c>
      <c r="D4881" t="inlineStr">
        <is>
          <t>DALARNAS LÄN</t>
        </is>
      </c>
      <c r="E4881" t="inlineStr">
        <is>
          <t>MORA</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55106-2022</t>
        </is>
      </c>
      <c r="B4882" s="1" t="n">
        <v>44886</v>
      </c>
      <c r="C4882" s="1" t="n">
        <v>45210</v>
      </c>
      <c r="D4882" t="inlineStr">
        <is>
          <t>DALARNAS LÄN</t>
        </is>
      </c>
      <c r="E4882" t="inlineStr">
        <is>
          <t>MORA</t>
        </is>
      </c>
      <c r="G4882" t="n">
        <v>7.7</v>
      </c>
      <c r="H4882" t="n">
        <v>0</v>
      </c>
      <c r="I4882" t="n">
        <v>0</v>
      </c>
      <c r="J4882" t="n">
        <v>0</v>
      </c>
      <c r="K4882" t="n">
        <v>0</v>
      </c>
      <c r="L4882" t="n">
        <v>0</v>
      </c>
      <c r="M4882" t="n">
        <v>0</v>
      </c>
      <c r="N4882" t="n">
        <v>0</v>
      </c>
      <c r="O4882" t="n">
        <v>0</v>
      </c>
      <c r="P4882" t="n">
        <v>0</v>
      </c>
      <c r="Q4882" t="n">
        <v>0</v>
      </c>
      <c r="R4882" s="2" t="inlineStr"/>
    </row>
    <row r="4883" ht="15" customHeight="1">
      <c r="A4883" t="inlineStr">
        <is>
          <t>A 54965-2022</t>
        </is>
      </c>
      <c r="B4883" s="1" t="n">
        <v>44886</v>
      </c>
      <c r="C4883" s="1" t="n">
        <v>45210</v>
      </c>
      <c r="D4883" t="inlineStr">
        <is>
          <t>DALARNAS LÄN</t>
        </is>
      </c>
      <c r="E4883" t="inlineStr">
        <is>
          <t>SMEDJEBACKEN</t>
        </is>
      </c>
      <c r="F4883" t="inlineStr">
        <is>
          <t>Sveaskog</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55010-2022</t>
        </is>
      </c>
      <c r="B4884" s="1" t="n">
        <v>44886</v>
      </c>
      <c r="C4884" s="1" t="n">
        <v>45210</v>
      </c>
      <c r="D4884" t="inlineStr">
        <is>
          <t>DALARNAS LÄN</t>
        </is>
      </c>
      <c r="E4884" t="inlineStr">
        <is>
          <t>MORA</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55051-2022</t>
        </is>
      </c>
      <c r="B4885" s="1" t="n">
        <v>44886</v>
      </c>
      <c r="C4885" s="1" t="n">
        <v>45210</v>
      </c>
      <c r="D4885" t="inlineStr">
        <is>
          <t>DALARNAS LÄN</t>
        </is>
      </c>
      <c r="E4885" t="inlineStr">
        <is>
          <t>MORA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55078-2022</t>
        </is>
      </c>
      <c r="B4886" s="1" t="n">
        <v>44886</v>
      </c>
      <c r="C4886" s="1" t="n">
        <v>45210</v>
      </c>
      <c r="D4886" t="inlineStr">
        <is>
          <t>DALARNAS LÄN</t>
        </is>
      </c>
      <c r="E4886" t="inlineStr">
        <is>
          <t>VANSBRO</t>
        </is>
      </c>
      <c r="G4886" t="n">
        <v>0.3</v>
      </c>
      <c r="H4886" t="n">
        <v>0</v>
      </c>
      <c r="I4886" t="n">
        <v>0</v>
      </c>
      <c r="J4886" t="n">
        <v>0</v>
      </c>
      <c r="K4886" t="n">
        <v>0</v>
      </c>
      <c r="L4886" t="n">
        <v>0</v>
      </c>
      <c r="M4886" t="n">
        <v>0</v>
      </c>
      <c r="N4886" t="n">
        <v>0</v>
      </c>
      <c r="O4886" t="n">
        <v>0</v>
      </c>
      <c r="P4886" t="n">
        <v>0</v>
      </c>
      <c r="Q4886" t="n">
        <v>0</v>
      </c>
      <c r="R4886" s="2" t="inlineStr"/>
    </row>
    <row r="4887" ht="15" customHeight="1">
      <c r="A4887" t="inlineStr">
        <is>
          <t>A 55143-2022</t>
        </is>
      </c>
      <c r="B4887" s="1" t="n">
        <v>44886</v>
      </c>
      <c r="C4887" s="1" t="n">
        <v>45210</v>
      </c>
      <c r="D4887" t="inlineStr">
        <is>
          <t>DALARNAS LÄN</t>
        </is>
      </c>
      <c r="E4887" t="inlineStr">
        <is>
          <t>HEDEMORA</t>
        </is>
      </c>
      <c r="F4887" t="inlineStr">
        <is>
          <t>Sveaskog</t>
        </is>
      </c>
      <c r="G4887" t="n">
        <v>0.8</v>
      </c>
      <c r="H4887" t="n">
        <v>0</v>
      </c>
      <c r="I4887" t="n">
        <v>0</v>
      </c>
      <c r="J4887" t="n">
        <v>0</v>
      </c>
      <c r="K4887" t="n">
        <v>0</v>
      </c>
      <c r="L4887" t="n">
        <v>0</v>
      </c>
      <c r="M4887" t="n">
        <v>0</v>
      </c>
      <c r="N4887" t="n">
        <v>0</v>
      </c>
      <c r="O4887" t="n">
        <v>0</v>
      </c>
      <c r="P4887" t="n">
        <v>0</v>
      </c>
      <c r="Q4887" t="n">
        <v>0</v>
      </c>
      <c r="R4887" s="2" t="inlineStr"/>
    </row>
    <row r="4888" ht="15" customHeight="1">
      <c r="A4888" t="inlineStr">
        <is>
          <t>A 55000-2022</t>
        </is>
      </c>
      <c r="B4888" s="1" t="n">
        <v>44886</v>
      </c>
      <c r="C4888" s="1" t="n">
        <v>45210</v>
      </c>
      <c r="D4888" t="inlineStr">
        <is>
          <t>DALARNAS LÄN</t>
        </is>
      </c>
      <c r="E4888" t="inlineStr">
        <is>
          <t>SMEDJEBACKEN</t>
        </is>
      </c>
      <c r="F4888" t="inlineStr">
        <is>
          <t>Sveaskog</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55123-2022</t>
        </is>
      </c>
      <c r="B4889" s="1" t="n">
        <v>44886</v>
      </c>
      <c r="C4889" s="1" t="n">
        <v>45210</v>
      </c>
      <c r="D4889" t="inlineStr">
        <is>
          <t>DALARNAS LÄN</t>
        </is>
      </c>
      <c r="E4889" t="inlineStr">
        <is>
          <t>BORLÄNGE</t>
        </is>
      </c>
      <c r="G4889" t="n">
        <v>0.5</v>
      </c>
      <c r="H4889" t="n">
        <v>0</v>
      </c>
      <c r="I4889" t="n">
        <v>0</v>
      </c>
      <c r="J4889" t="n">
        <v>0</v>
      </c>
      <c r="K4889" t="n">
        <v>0</v>
      </c>
      <c r="L4889" t="n">
        <v>0</v>
      </c>
      <c r="M4889" t="n">
        <v>0</v>
      </c>
      <c r="N4889" t="n">
        <v>0</v>
      </c>
      <c r="O4889" t="n">
        <v>0</v>
      </c>
      <c r="P4889" t="n">
        <v>0</v>
      </c>
      <c r="Q4889" t="n">
        <v>0</v>
      </c>
      <c r="R4889" s="2" t="inlineStr"/>
    </row>
    <row r="4890" ht="15" customHeight="1">
      <c r="A4890" t="inlineStr">
        <is>
          <t>A 55142-2022</t>
        </is>
      </c>
      <c r="B4890" s="1" t="n">
        <v>44886</v>
      </c>
      <c r="C4890" s="1" t="n">
        <v>45210</v>
      </c>
      <c r="D4890" t="inlineStr">
        <is>
          <t>DALARNAS LÄN</t>
        </is>
      </c>
      <c r="E4890" t="inlineStr">
        <is>
          <t>HEDEMORA</t>
        </is>
      </c>
      <c r="F4890" t="inlineStr">
        <is>
          <t>Sveaskog</t>
        </is>
      </c>
      <c r="G4890" t="n">
        <v>6.4</v>
      </c>
      <c r="H4890" t="n">
        <v>0</v>
      </c>
      <c r="I4890" t="n">
        <v>0</v>
      </c>
      <c r="J4890" t="n">
        <v>0</v>
      </c>
      <c r="K4890" t="n">
        <v>0</v>
      </c>
      <c r="L4890" t="n">
        <v>0</v>
      </c>
      <c r="M4890" t="n">
        <v>0</v>
      </c>
      <c r="N4890" t="n">
        <v>0</v>
      </c>
      <c r="O4890" t="n">
        <v>0</v>
      </c>
      <c r="P4890" t="n">
        <v>0</v>
      </c>
      <c r="Q4890" t="n">
        <v>0</v>
      </c>
      <c r="R4890" s="2" t="inlineStr"/>
    </row>
    <row r="4891" ht="15" customHeight="1">
      <c r="A4891" t="inlineStr">
        <is>
          <t>A 55365-2022</t>
        </is>
      </c>
      <c r="B4891" s="1" t="n">
        <v>44887</v>
      </c>
      <c r="C4891" s="1" t="n">
        <v>45210</v>
      </c>
      <c r="D4891" t="inlineStr">
        <is>
          <t>DALARNAS LÄN</t>
        </is>
      </c>
      <c r="E4891" t="inlineStr">
        <is>
          <t>RÄTTVIK</t>
        </is>
      </c>
      <c r="G4891" t="n">
        <v>17.4</v>
      </c>
      <c r="H4891" t="n">
        <v>0</v>
      </c>
      <c r="I4891" t="n">
        <v>0</v>
      </c>
      <c r="J4891" t="n">
        <v>0</v>
      </c>
      <c r="K4891" t="n">
        <v>0</v>
      </c>
      <c r="L4891" t="n">
        <v>0</v>
      </c>
      <c r="M4891" t="n">
        <v>0</v>
      </c>
      <c r="N4891" t="n">
        <v>0</v>
      </c>
      <c r="O4891" t="n">
        <v>0</v>
      </c>
      <c r="P4891" t="n">
        <v>0</v>
      </c>
      <c r="Q4891" t="n">
        <v>0</v>
      </c>
      <c r="R4891" s="2" t="inlineStr"/>
    </row>
    <row r="4892" ht="15" customHeight="1">
      <c r="A4892" t="inlineStr">
        <is>
          <t>A 55272-2022</t>
        </is>
      </c>
      <c r="B4892" s="1" t="n">
        <v>44887</v>
      </c>
      <c r="C4892" s="1" t="n">
        <v>45210</v>
      </c>
      <c r="D4892" t="inlineStr">
        <is>
          <t>DALARNAS LÄN</t>
        </is>
      </c>
      <c r="E4892" t="inlineStr">
        <is>
          <t>FALUN</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55290-2022</t>
        </is>
      </c>
      <c r="B4893" s="1" t="n">
        <v>44887</v>
      </c>
      <c r="C4893" s="1" t="n">
        <v>45210</v>
      </c>
      <c r="D4893" t="inlineStr">
        <is>
          <t>DALARNAS LÄN</t>
        </is>
      </c>
      <c r="E4893" t="inlineStr">
        <is>
          <t>FALUN</t>
        </is>
      </c>
      <c r="G4893" t="n">
        <v>4.7</v>
      </c>
      <c r="H4893" t="n">
        <v>0</v>
      </c>
      <c r="I4893" t="n">
        <v>0</v>
      </c>
      <c r="J4893" t="n">
        <v>0</v>
      </c>
      <c r="K4893" t="n">
        <v>0</v>
      </c>
      <c r="L4893" t="n">
        <v>0</v>
      </c>
      <c r="M4893" t="n">
        <v>0</v>
      </c>
      <c r="N4893" t="n">
        <v>0</v>
      </c>
      <c r="O4893" t="n">
        <v>0</v>
      </c>
      <c r="P4893" t="n">
        <v>0</v>
      </c>
      <c r="Q4893" t="n">
        <v>0</v>
      </c>
      <c r="R4893" s="2" t="inlineStr"/>
    </row>
    <row r="4894" ht="15" customHeight="1">
      <c r="A4894" t="inlineStr">
        <is>
          <t>A 55392-2022</t>
        </is>
      </c>
      <c r="B4894" s="1" t="n">
        <v>44887</v>
      </c>
      <c r="C4894" s="1" t="n">
        <v>45210</v>
      </c>
      <c r="D4894" t="inlineStr">
        <is>
          <t>DALARNAS LÄN</t>
        </is>
      </c>
      <c r="E4894" t="inlineStr">
        <is>
          <t>GAGNEF</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55274-2022</t>
        </is>
      </c>
      <c r="B4895" s="1" t="n">
        <v>44887</v>
      </c>
      <c r="C4895" s="1" t="n">
        <v>45210</v>
      </c>
      <c r="D4895" t="inlineStr">
        <is>
          <t>DALARNAS LÄN</t>
        </is>
      </c>
      <c r="E4895" t="inlineStr">
        <is>
          <t>BORLÄNGE</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55374-2022</t>
        </is>
      </c>
      <c r="B4896" s="1" t="n">
        <v>44887</v>
      </c>
      <c r="C4896" s="1" t="n">
        <v>45210</v>
      </c>
      <c r="D4896" t="inlineStr">
        <is>
          <t>DALARNAS LÄN</t>
        </is>
      </c>
      <c r="E4896" t="inlineStr">
        <is>
          <t>FALUN</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55267-2022</t>
        </is>
      </c>
      <c r="B4897" s="1" t="n">
        <v>44887</v>
      </c>
      <c r="C4897" s="1" t="n">
        <v>45210</v>
      </c>
      <c r="D4897" t="inlineStr">
        <is>
          <t>DALARNAS LÄN</t>
        </is>
      </c>
      <c r="E4897" t="inlineStr">
        <is>
          <t>SMEDJEBACKEN</t>
        </is>
      </c>
      <c r="G4897" t="n">
        <v>3.7</v>
      </c>
      <c r="H4897" t="n">
        <v>0</v>
      </c>
      <c r="I4897" t="n">
        <v>0</v>
      </c>
      <c r="J4897" t="n">
        <v>0</v>
      </c>
      <c r="K4897" t="n">
        <v>0</v>
      </c>
      <c r="L4897" t="n">
        <v>0</v>
      </c>
      <c r="M4897" t="n">
        <v>0</v>
      </c>
      <c r="N4897" t="n">
        <v>0</v>
      </c>
      <c r="O4897" t="n">
        <v>0</v>
      </c>
      <c r="P4897" t="n">
        <v>0</v>
      </c>
      <c r="Q4897" t="n">
        <v>0</v>
      </c>
      <c r="R4897" s="2" t="inlineStr"/>
    </row>
    <row r="4898" ht="15" customHeight="1">
      <c r="A4898" t="inlineStr">
        <is>
          <t>A 55276-2022</t>
        </is>
      </c>
      <c r="B4898" s="1" t="n">
        <v>44887</v>
      </c>
      <c r="C4898" s="1" t="n">
        <v>45210</v>
      </c>
      <c r="D4898" t="inlineStr">
        <is>
          <t>DALARNAS LÄN</t>
        </is>
      </c>
      <c r="E4898" t="inlineStr">
        <is>
          <t>MALUNG-SÄLEN</t>
        </is>
      </c>
      <c r="G4898" t="n">
        <v>1.5</v>
      </c>
      <c r="H4898" t="n">
        <v>0</v>
      </c>
      <c r="I4898" t="n">
        <v>0</v>
      </c>
      <c r="J4898" t="n">
        <v>0</v>
      </c>
      <c r="K4898" t="n">
        <v>0</v>
      </c>
      <c r="L4898" t="n">
        <v>0</v>
      </c>
      <c r="M4898" t="n">
        <v>0</v>
      </c>
      <c r="N4898" t="n">
        <v>0</v>
      </c>
      <c r="O4898" t="n">
        <v>0</v>
      </c>
      <c r="P4898" t="n">
        <v>0</v>
      </c>
      <c r="Q4898" t="n">
        <v>0</v>
      </c>
      <c r="R4898" s="2" t="inlineStr"/>
    </row>
    <row r="4899" ht="15" customHeight="1">
      <c r="A4899" t="inlineStr">
        <is>
          <t>A 55346-2022</t>
        </is>
      </c>
      <c r="B4899" s="1" t="n">
        <v>44887</v>
      </c>
      <c r="C4899" s="1" t="n">
        <v>45210</v>
      </c>
      <c r="D4899" t="inlineStr">
        <is>
          <t>DALARNAS LÄN</t>
        </is>
      </c>
      <c r="E4899" t="inlineStr">
        <is>
          <t>VANSBRO</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56546-2022</t>
        </is>
      </c>
      <c r="B4900" s="1" t="n">
        <v>44887</v>
      </c>
      <c r="C4900" s="1" t="n">
        <v>45210</v>
      </c>
      <c r="D4900" t="inlineStr">
        <is>
          <t>DALARNAS LÄN</t>
        </is>
      </c>
      <c r="E4900" t="inlineStr">
        <is>
          <t>AVESTA</t>
        </is>
      </c>
      <c r="F4900" t="inlineStr">
        <is>
          <t>Bergvik skog väst AB</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55771-2022</t>
        </is>
      </c>
      <c r="B4901" s="1" t="n">
        <v>44888</v>
      </c>
      <c r="C4901" s="1" t="n">
        <v>45210</v>
      </c>
      <c r="D4901" t="inlineStr">
        <is>
          <t>DALARNAS LÄN</t>
        </is>
      </c>
      <c r="E4901" t="inlineStr">
        <is>
          <t>GAGNEF</t>
        </is>
      </c>
      <c r="G4901" t="n">
        <v>9.4</v>
      </c>
      <c r="H4901" t="n">
        <v>0</v>
      </c>
      <c r="I4901" t="n">
        <v>0</v>
      </c>
      <c r="J4901" t="n">
        <v>0</v>
      </c>
      <c r="K4901" t="n">
        <v>0</v>
      </c>
      <c r="L4901" t="n">
        <v>0</v>
      </c>
      <c r="M4901" t="n">
        <v>0</v>
      </c>
      <c r="N4901" t="n">
        <v>0</v>
      </c>
      <c r="O4901" t="n">
        <v>0</v>
      </c>
      <c r="P4901" t="n">
        <v>0</v>
      </c>
      <c r="Q4901" t="n">
        <v>0</v>
      </c>
      <c r="R4901" s="2" t="inlineStr"/>
    </row>
    <row r="4902" ht="15" customHeight="1">
      <c r="A4902" t="inlineStr">
        <is>
          <t>A 55847-2022</t>
        </is>
      </c>
      <c r="B4902" s="1" t="n">
        <v>44888</v>
      </c>
      <c r="C4902" s="1" t="n">
        <v>45210</v>
      </c>
      <c r="D4902" t="inlineStr">
        <is>
          <t>DALARNAS LÄN</t>
        </is>
      </c>
      <c r="E4902" t="inlineStr">
        <is>
          <t>MALUNG-SÄLEN</t>
        </is>
      </c>
      <c r="G4902" t="n">
        <v>8.300000000000001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55717-2022</t>
        </is>
      </c>
      <c r="B4903" s="1" t="n">
        <v>44888</v>
      </c>
      <c r="C4903" s="1" t="n">
        <v>45210</v>
      </c>
      <c r="D4903" t="inlineStr">
        <is>
          <t>DALARNAS LÄN</t>
        </is>
      </c>
      <c r="E4903" t="inlineStr">
        <is>
          <t>SMEDJEBACKEN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55811-2022</t>
        </is>
      </c>
      <c r="B4904" s="1" t="n">
        <v>44888</v>
      </c>
      <c r="C4904" s="1" t="n">
        <v>45210</v>
      </c>
      <c r="D4904" t="inlineStr">
        <is>
          <t>DALARNAS LÄN</t>
        </is>
      </c>
      <c r="E4904" t="inlineStr">
        <is>
          <t>SMEDJEBACKEN</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56939-2022</t>
        </is>
      </c>
      <c r="B4905" s="1" t="n">
        <v>44888</v>
      </c>
      <c r="C4905" s="1" t="n">
        <v>45210</v>
      </c>
      <c r="D4905" t="inlineStr">
        <is>
          <t>DALARNAS LÄN</t>
        </is>
      </c>
      <c r="E4905" t="inlineStr">
        <is>
          <t>MORA</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55691-2022</t>
        </is>
      </c>
      <c r="B4906" s="1" t="n">
        <v>44888</v>
      </c>
      <c r="C4906" s="1" t="n">
        <v>45210</v>
      </c>
      <c r="D4906" t="inlineStr">
        <is>
          <t>DALARNAS LÄN</t>
        </is>
      </c>
      <c r="E4906" t="inlineStr">
        <is>
          <t>ORSA</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55993-2022</t>
        </is>
      </c>
      <c r="B4907" s="1" t="n">
        <v>44889</v>
      </c>
      <c r="C4907" s="1" t="n">
        <v>45210</v>
      </c>
      <c r="D4907" t="inlineStr">
        <is>
          <t>DALARNAS LÄN</t>
        </is>
      </c>
      <c r="E4907" t="inlineStr">
        <is>
          <t>MORA</t>
        </is>
      </c>
      <c r="G4907" t="n">
        <v>7.7</v>
      </c>
      <c r="H4907" t="n">
        <v>0</v>
      </c>
      <c r="I4907" t="n">
        <v>0</v>
      </c>
      <c r="J4907" t="n">
        <v>0</v>
      </c>
      <c r="K4907" t="n">
        <v>0</v>
      </c>
      <c r="L4907" t="n">
        <v>0</v>
      </c>
      <c r="M4907" t="n">
        <v>0</v>
      </c>
      <c r="N4907" t="n">
        <v>0</v>
      </c>
      <c r="O4907" t="n">
        <v>0</v>
      </c>
      <c r="P4907" t="n">
        <v>0</v>
      </c>
      <c r="Q4907" t="n">
        <v>0</v>
      </c>
      <c r="R4907" s="2" t="inlineStr"/>
    </row>
    <row r="4908" ht="15" customHeight="1">
      <c r="A4908" t="inlineStr">
        <is>
          <t>A 56068-2022</t>
        </is>
      </c>
      <c r="B4908" s="1" t="n">
        <v>44889</v>
      </c>
      <c r="C4908" s="1" t="n">
        <v>45210</v>
      </c>
      <c r="D4908" t="inlineStr">
        <is>
          <t>DALARNAS LÄN</t>
        </is>
      </c>
      <c r="E4908" t="inlineStr">
        <is>
          <t>SMEDJEBACKEN</t>
        </is>
      </c>
      <c r="G4908" t="n">
        <v>1.6</v>
      </c>
      <c r="H4908" t="n">
        <v>0</v>
      </c>
      <c r="I4908" t="n">
        <v>0</v>
      </c>
      <c r="J4908" t="n">
        <v>0</v>
      </c>
      <c r="K4908" t="n">
        <v>0</v>
      </c>
      <c r="L4908" t="n">
        <v>0</v>
      </c>
      <c r="M4908" t="n">
        <v>0</v>
      </c>
      <c r="N4908" t="n">
        <v>0</v>
      </c>
      <c r="O4908" t="n">
        <v>0</v>
      </c>
      <c r="P4908" t="n">
        <v>0</v>
      </c>
      <c r="Q4908" t="n">
        <v>0</v>
      </c>
      <c r="R4908" s="2" t="inlineStr"/>
    </row>
    <row r="4909" ht="15" customHeight="1">
      <c r="A4909" t="inlineStr">
        <is>
          <t>A 55910-2022</t>
        </is>
      </c>
      <c r="B4909" s="1" t="n">
        <v>44889</v>
      </c>
      <c r="C4909" s="1" t="n">
        <v>45210</v>
      </c>
      <c r="D4909" t="inlineStr">
        <is>
          <t>DALARNAS LÄN</t>
        </is>
      </c>
      <c r="E4909" t="inlineStr">
        <is>
          <t>BORLÄNGE</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56149-2022</t>
        </is>
      </c>
      <c r="B4910" s="1" t="n">
        <v>44889</v>
      </c>
      <c r="C4910" s="1" t="n">
        <v>45210</v>
      </c>
      <c r="D4910" t="inlineStr">
        <is>
          <t>DALARNAS LÄN</t>
        </is>
      </c>
      <c r="E4910" t="inlineStr">
        <is>
          <t>FALUN</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56315-2022</t>
        </is>
      </c>
      <c r="B4911" s="1" t="n">
        <v>44890</v>
      </c>
      <c r="C4911" s="1" t="n">
        <v>45210</v>
      </c>
      <c r="D4911" t="inlineStr">
        <is>
          <t>DALARNAS LÄN</t>
        </is>
      </c>
      <c r="E4911" t="inlineStr">
        <is>
          <t>SMEDJEBACKEN</t>
        </is>
      </c>
      <c r="F4911" t="inlineStr">
        <is>
          <t>Kyrkan</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56346-2022</t>
        </is>
      </c>
      <c r="B4912" s="1" t="n">
        <v>44890</v>
      </c>
      <c r="C4912" s="1" t="n">
        <v>45210</v>
      </c>
      <c r="D4912" t="inlineStr">
        <is>
          <t>DALARNAS LÄN</t>
        </is>
      </c>
      <c r="E4912" t="inlineStr">
        <is>
          <t>LUDVIKA</t>
        </is>
      </c>
      <c r="F4912" t="inlineStr">
        <is>
          <t>Bergvik skog väst AB</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57761-2022</t>
        </is>
      </c>
      <c r="B4913" s="1" t="n">
        <v>44890</v>
      </c>
      <c r="C4913" s="1" t="n">
        <v>45210</v>
      </c>
      <c r="D4913" t="inlineStr">
        <is>
          <t>DALARNAS LÄN</t>
        </is>
      </c>
      <c r="E4913" t="inlineStr">
        <is>
          <t>RÄTTVIK</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56308-2022</t>
        </is>
      </c>
      <c r="B4914" s="1" t="n">
        <v>44890</v>
      </c>
      <c r="C4914" s="1" t="n">
        <v>45210</v>
      </c>
      <c r="D4914" t="inlineStr">
        <is>
          <t>DALARNAS LÄN</t>
        </is>
      </c>
      <c r="E4914" t="inlineStr">
        <is>
          <t>SMEDJEBACKEN</t>
        </is>
      </c>
      <c r="F4914" t="inlineStr">
        <is>
          <t>Kyrkan</t>
        </is>
      </c>
      <c r="G4914" t="n">
        <v>8.5</v>
      </c>
      <c r="H4914" t="n">
        <v>0</v>
      </c>
      <c r="I4914" t="n">
        <v>0</v>
      </c>
      <c r="J4914" t="n">
        <v>0</v>
      </c>
      <c r="K4914" t="n">
        <v>0</v>
      </c>
      <c r="L4914" t="n">
        <v>0</v>
      </c>
      <c r="M4914" t="n">
        <v>0</v>
      </c>
      <c r="N4914" t="n">
        <v>0</v>
      </c>
      <c r="O4914" t="n">
        <v>0</v>
      </c>
      <c r="P4914" t="n">
        <v>0</v>
      </c>
      <c r="Q4914" t="n">
        <v>0</v>
      </c>
      <c r="R4914" s="2" t="inlineStr"/>
    </row>
    <row r="4915" ht="15" customHeight="1">
      <c r="A4915" t="inlineStr">
        <is>
          <t>A 56347-2022</t>
        </is>
      </c>
      <c r="B4915" s="1" t="n">
        <v>44890</v>
      </c>
      <c r="C4915" s="1" t="n">
        <v>45210</v>
      </c>
      <c r="D4915" t="inlineStr">
        <is>
          <t>DALARNAS LÄN</t>
        </is>
      </c>
      <c r="E4915" t="inlineStr">
        <is>
          <t>LUDVIKA</t>
        </is>
      </c>
      <c r="F4915" t="inlineStr">
        <is>
          <t>Bergvik skog väst AB</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56578-2022</t>
        </is>
      </c>
      <c r="B4916" s="1" t="n">
        <v>44893</v>
      </c>
      <c r="C4916" s="1" t="n">
        <v>45210</v>
      </c>
      <c r="D4916" t="inlineStr">
        <is>
          <t>DALARNAS LÄN</t>
        </is>
      </c>
      <c r="E4916" t="inlineStr">
        <is>
          <t>ORSA</t>
        </is>
      </c>
      <c r="F4916" t="inlineStr">
        <is>
          <t>Allmännings- och besparingsskogar</t>
        </is>
      </c>
      <c r="G4916" t="n">
        <v>2.3</v>
      </c>
      <c r="H4916" t="n">
        <v>0</v>
      </c>
      <c r="I4916" t="n">
        <v>0</v>
      </c>
      <c r="J4916" t="n">
        <v>0</v>
      </c>
      <c r="K4916" t="n">
        <v>0</v>
      </c>
      <c r="L4916" t="n">
        <v>0</v>
      </c>
      <c r="M4916" t="n">
        <v>0</v>
      </c>
      <c r="N4916" t="n">
        <v>0</v>
      </c>
      <c r="O4916" t="n">
        <v>0</v>
      </c>
      <c r="P4916" t="n">
        <v>0</v>
      </c>
      <c r="Q4916" t="n">
        <v>0</v>
      </c>
      <c r="R4916" s="2" t="inlineStr"/>
    </row>
    <row r="4917" ht="15" customHeight="1">
      <c r="A4917" t="inlineStr">
        <is>
          <t>A 56678-2022</t>
        </is>
      </c>
      <c r="B4917" s="1" t="n">
        <v>44893</v>
      </c>
      <c r="C4917" s="1" t="n">
        <v>45210</v>
      </c>
      <c r="D4917" t="inlineStr">
        <is>
          <t>DALARNAS LÄN</t>
        </is>
      </c>
      <c r="E4917" t="inlineStr">
        <is>
          <t>MORA</t>
        </is>
      </c>
      <c r="G4917" t="n">
        <v>4.7</v>
      </c>
      <c r="H4917" t="n">
        <v>0</v>
      </c>
      <c r="I4917" t="n">
        <v>0</v>
      </c>
      <c r="J4917" t="n">
        <v>0</v>
      </c>
      <c r="K4917" t="n">
        <v>0</v>
      </c>
      <c r="L4917" t="n">
        <v>0</v>
      </c>
      <c r="M4917" t="n">
        <v>0</v>
      </c>
      <c r="N4917" t="n">
        <v>0</v>
      </c>
      <c r="O4917" t="n">
        <v>0</v>
      </c>
      <c r="P4917" t="n">
        <v>0</v>
      </c>
      <c r="Q4917" t="n">
        <v>0</v>
      </c>
      <c r="R4917" s="2" t="inlineStr"/>
    </row>
    <row r="4918" ht="15" customHeight="1">
      <c r="A4918" t="inlineStr">
        <is>
          <t>A 56464-2022</t>
        </is>
      </c>
      <c r="B4918" s="1" t="n">
        <v>44893</v>
      </c>
      <c r="C4918" s="1" t="n">
        <v>45210</v>
      </c>
      <c r="D4918" t="inlineStr">
        <is>
          <t>DALARNAS LÄN</t>
        </is>
      </c>
      <c r="E4918" t="inlineStr">
        <is>
          <t>AVESTA</t>
        </is>
      </c>
      <c r="G4918" t="n">
        <v>6.4</v>
      </c>
      <c r="H4918" t="n">
        <v>0</v>
      </c>
      <c r="I4918" t="n">
        <v>0</v>
      </c>
      <c r="J4918" t="n">
        <v>0</v>
      </c>
      <c r="K4918" t="n">
        <v>0</v>
      </c>
      <c r="L4918" t="n">
        <v>0</v>
      </c>
      <c r="M4918" t="n">
        <v>0</v>
      </c>
      <c r="N4918" t="n">
        <v>0</v>
      </c>
      <c r="O4918" t="n">
        <v>0</v>
      </c>
      <c r="P4918" t="n">
        <v>0</v>
      </c>
      <c r="Q4918" t="n">
        <v>0</v>
      </c>
      <c r="R4918" s="2" t="inlineStr"/>
    </row>
    <row r="4919" ht="15" customHeight="1">
      <c r="A4919" t="inlineStr">
        <is>
          <t>A 56480-2022</t>
        </is>
      </c>
      <c r="B4919" s="1" t="n">
        <v>44893</v>
      </c>
      <c r="C4919" s="1" t="n">
        <v>45210</v>
      </c>
      <c r="D4919" t="inlineStr">
        <is>
          <t>DALARNAS LÄN</t>
        </is>
      </c>
      <c r="E4919" t="inlineStr">
        <is>
          <t>SMEDJEBACKEN</t>
        </is>
      </c>
      <c r="F4919" t="inlineStr">
        <is>
          <t>Sveaskog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56686-2022</t>
        </is>
      </c>
      <c r="B4920" s="1" t="n">
        <v>44893</v>
      </c>
      <c r="C4920" s="1" t="n">
        <v>45210</v>
      </c>
      <c r="D4920" t="inlineStr">
        <is>
          <t>DALARNAS LÄN</t>
        </is>
      </c>
      <c r="E4920" t="inlineStr">
        <is>
          <t>LUDVIKA</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56570-2022</t>
        </is>
      </c>
      <c r="B4921" s="1" t="n">
        <v>44893</v>
      </c>
      <c r="C4921" s="1" t="n">
        <v>45210</v>
      </c>
      <c r="D4921" t="inlineStr">
        <is>
          <t>DALARNAS LÄN</t>
        </is>
      </c>
      <c r="E4921" t="inlineStr">
        <is>
          <t>FALUN</t>
        </is>
      </c>
      <c r="G4921" t="n">
        <v>3.7</v>
      </c>
      <c r="H4921" t="n">
        <v>0</v>
      </c>
      <c r="I4921" t="n">
        <v>0</v>
      </c>
      <c r="J4921" t="n">
        <v>0</v>
      </c>
      <c r="K4921" t="n">
        <v>0</v>
      </c>
      <c r="L4921" t="n">
        <v>0</v>
      </c>
      <c r="M4921" t="n">
        <v>0</v>
      </c>
      <c r="N4921" t="n">
        <v>0</v>
      </c>
      <c r="O4921" t="n">
        <v>0</v>
      </c>
      <c r="P4921" t="n">
        <v>0</v>
      </c>
      <c r="Q4921" t="n">
        <v>0</v>
      </c>
      <c r="R4921" s="2" t="inlineStr"/>
    </row>
    <row r="4922" ht="15" customHeight="1">
      <c r="A4922" t="inlineStr">
        <is>
          <t>A 56460-2022</t>
        </is>
      </c>
      <c r="B4922" s="1" t="n">
        <v>44893</v>
      </c>
      <c r="C4922" s="1" t="n">
        <v>45210</v>
      </c>
      <c r="D4922" t="inlineStr">
        <is>
          <t>DALARNAS LÄN</t>
        </is>
      </c>
      <c r="E4922" t="inlineStr">
        <is>
          <t>MORA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56573-2022</t>
        </is>
      </c>
      <c r="B4923" s="1" t="n">
        <v>44893</v>
      </c>
      <c r="C4923" s="1" t="n">
        <v>45210</v>
      </c>
      <c r="D4923" t="inlineStr">
        <is>
          <t>DALARNAS LÄN</t>
        </is>
      </c>
      <c r="E4923" t="inlineStr">
        <is>
          <t>MALUNG-SÄLEN</t>
        </is>
      </c>
      <c r="F4923" t="inlineStr">
        <is>
          <t>Bergvik skog väst AB</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56882-2022</t>
        </is>
      </c>
      <c r="B4924" s="1" t="n">
        <v>44894</v>
      </c>
      <c r="C4924" s="1" t="n">
        <v>45210</v>
      </c>
      <c r="D4924" t="inlineStr">
        <is>
          <t>DALARNAS LÄN</t>
        </is>
      </c>
      <c r="E4924" t="inlineStr">
        <is>
          <t>ÄLVDALEN</t>
        </is>
      </c>
      <c r="G4924" t="n">
        <v>7.4</v>
      </c>
      <c r="H4924" t="n">
        <v>0</v>
      </c>
      <c r="I4924" t="n">
        <v>0</v>
      </c>
      <c r="J4924" t="n">
        <v>0</v>
      </c>
      <c r="K4924" t="n">
        <v>0</v>
      </c>
      <c r="L4924" t="n">
        <v>0</v>
      </c>
      <c r="M4924" t="n">
        <v>0</v>
      </c>
      <c r="N4924" t="n">
        <v>0</v>
      </c>
      <c r="O4924" t="n">
        <v>0</v>
      </c>
      <c r="P4924" t="n">
        <v>0</v>
      </c>
      <c r="Q4924" t="n">
        <v>0</v>
      </c>
      <c r="R4924" s="2" t="inlineStr"/>
    </row>
    <row r="4925" ht="15" customHeight="1">
      <c r="A4925" t="inlineStr">
        <is>
          <t>A 57134-2022</t>
        </is>
      </c>
      <c r="B4925" s="1" t="n">
        <v>44895</v>
      </c>
      <c r="C4925" s="1" t="n">
        <v>45210</v>
      </c>
      <c r="D4925" t="inlineStr">
        <is>
          <t>DALARNAS LÄN</t>
        </is>
      </c>
      <c r="E4925" t="inlineStr">
        <is>
          <t>GAGNEF</t>
        </is>
      </c>
      <c r="G4925" t="n">
        <v>3.5</v>
      </c>
      <c r="H4925" t="n">
        <v>0</v>
      </c>
      <c r="I4925" t="n">
        <v>0</v>
      </c>
      <c r="J4925" t="n">
        <v>0</v>
      </c>
      <c r="K4925" t="n">
        <v>0</v>
      </c>
      <c r="L4925" t="n">
        <v>0</v>
      </c>
      <c r="M4925" t="n">
        <v>0</v>
      </c>
      <c r="N4925" t="n">
        <v>0</v>
      </c>
      <c r="O4925" t="n">
        <v>0</v>
      </c>
      <c r="P4925" t="n">
        <v>0</v>
      </c>
      <c r="Q4925" t="n">
        <v>0</v>
      </c>
      <c r="R4925" s="2" t="inlineStr"/>
    </row>
    <row r="4926" ht="15" customHeight="1">
      <c r="A4926" t="inlineStr">
        <is>
          <t>A 57146-2022</t>
        </is>
      </c>
      <c r="B4926" s="1" t="n">
        <v>44895</v>
      </c>
      <c r="C4926" s="1" t="n">
        <v>45210</v>
      </c>
      <c r="D4926" t="inlineStr">
        <is>
          <t>DALARNAS LÄN</t>
        </is>
      </c>
      <c r="E4926" t="inlineStr">
        <is>
          <t>SMEDJEBACKEN</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57193-2022</t>
        </is>
      </c>
      <c r="B4927" s="1" t="n">
        <v>44895</v>
      </c>
      <c r="C4927" s="1" t="n">
        <v>45210</v>
      </c>
      <c r="D4927" t="inlineStr">
        <is>
          <t>DALARNAS LÄN</t>
        </is>
      </c>
      <c r="E4927" t="inlineStr">
        <is>
          <t>LUDVIKA</t>
        </is>
      </c>
      <c r="F4927" t="inlineStr">
        <is>
          <t>Bergvik skog väst AB</t>
        </is>
      </c>
      <c r="G4927" t="n">
        <v>3.4</v>
      </c>
      <c r="H4927" t="n">
        <v>0</v>
      </c>
      <c r="I4927" t="n">
        <v>0</v>
      </c>
      <c r="J4927" t="n">
        <v>0</v>
      </c>
      <c r="K4927" t="n">
        <v>0</v>
      </c>
      <c r="L4927" t="n">
        <v>0</v>
      </c>
      <c r="M4927" t="n">
        <v>0</v>
      </c>
      <c r="N4927" t="n">
        <v>0</v>
      </c>
      <c r="O4927" t="n">
        <v>0</v>
      </c>
      <c r="P4927" t="n">
        <v>0</v>
      </c>
      <c r="Q4927" t="n">
        <v>0</v>
      </c>
      <c r="R4927" s="2" t="inlineStr"/>
    </row>
    <row r="4928" ht="15" customHeight="1">
      <c r="A4928" t="inlineStr">
        <is>
          <t>A 57390-2022</t>
        </is>
      </c>
      <c r="B4928" s="1" t="n">
        <v>44896</v>
      </c>
      <c r="C4928" s="1" t="n">
        <v>45210</v>
      </c>
      <c r="D4928" t="inlineStr">
        <is>
          <t>DALARNAS LÄN</t>
        </is>
      </c>
      <c r="E4928" t="inlineStr">
        <is>
          <t>SMEDJEBACKEN</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57475-2022</t>
        </is>
      </c>
      <c r="B4929" s="1" t="n">
        <v>44896</v>
      </c>
      <c r="C4929" s="1" t="n">
        <v>45210</v>
      </c>
      <c r="D4929" t="inlineStr">
        <is>
          <t>DALARNAS LÄN</t>
        </is>
      </c>
      <c r="E4929" t="inlineStr">
        <is>
          <t>MORA</t>
        </is>
      </c>
      <c r="G4929" t="n">
        <v>5.7</v>
      </c>
      <c r="H4929" t="n">
        <v>0</v>
      </c>
      <c r="I4929" t="n">
        <v>0</v>
      </c>
      <c r="J4929" t="n">
        <v>0</v>
      </c>
      <c r="K4929" t="n">
        <v>0</v>
      </c>
      <c r="L4929" t="n">
        <v>0</v>
      </c>
      <c r="M4929" t="n">
        <v>0</v>
      </c>
      <c r="N4929" t="n">
        <v>0</v>
      </c>
      <c r="O4929" t="n">
        <v>0</v>
      </c>
      <c r="P4929" t="n">
        <v>0</v>
      </c>
      <c r="Q4929" t="n">
        <v>0</v>
      </c>
      <c r="R4929" s="2" t="inlineStr"/>
    </row>
    <row r="4930" ht="15" customHeight="1">
      <c r="A4930" t="inlineStr">
        <is>
          <t>A 57427-2022</t>
        </is>
      </c>
      <c r="B4930" s="1" t="n">
        <v>44896</v>
      </c>
      <c r="C4930" s="1" t="n">
        <v>45210</v>
      </c>
      <c r="D4930" t="inlineStr">
        <is>
          <t>DALARNAS LÄN</t>
        </is>
      </c>
      <c r="E4930" t="inlineStr">
        <is>
          <t>SÄTER</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58848-2022</t>
        </is>
      </c>
      <c r="B4931" s="1" t="n">
        <v>44896</v>
      </c>
      <c r="C4931" s="1" t="n">
        <v>45210</v>
      </c>
      <c r="D4931" t="inlineStr">
        <is>
          <t>DALARNAS LÄN</t>
        </is>
      </c>
      <c r="E4931" t="inlineStr">
        <is>
          <t>ÄLVDALEN</t>
        </is>
      </c>
      <c r="F4931" t="inlineStr">
        <is>
          <t>Övriga statliga verk och myndigheter</t>
        </is>
      </c>
      <c r="G4931" t="n">
        <v>18.1</v>
      </c>
      <c r="H4931" t="n">
        <v>0</v>
      </c>
      <c r="I4931" t="n">
        <v>0</v>
      </c>
      <c r="J4931" t="n">
        <v>0</v>
      </c>
      <c r="K4931" t="n">
        <v>0</v>
      </c>
      <c r="L4931" t="n">
        <v>0</v>
      </c>
      <c r="M4931" t="n">
        <v>0</v>
      </c>
      <c r="N4931" t="n">
        <v>0</v>
      </c>
      <c r="O4931" t="n">
        <v>0</v>
      </c>
      <c r="P4931" t="n">
        <v>0</v>
      </c>
      <c r="Q4931" t="n">
        <v>0</v>
      </c>
      <c r="R4931" s="2" t="inlineStr"/>
    </row>
    <row r="4932" ht="15" customHeight="1">
      <c r="A4932" t="inlineStr">
        <is>
          <t>A 57386-2022</t>
        </is>
      </c>
      <c r="B4932" s="1" t="n">
        <v>44896</v>
      </c>
      <c r="C4932" s="1" t="n">
        <v>45210</v>
      </c>
      <c r="D4932" t="inlineStr">
        <is>
          <t>DALARNAS LÄN</t>
        </is>
      </c>
      <c r="E4932" t="inlineStr">
        <is>
          <t>SMEDJEBACKEN</t>
        </is>
      </c>
      <c r="G4932" t="n">
        <v>3.5</v>
      </c>
      <c r="H4932" t="n">
        <v>0</v>
      </c>
      <c r="I4932" t="n">
        <v>0</v>
      </c>
      <c r="J4932" t="n">
        <v>0</v>
      </c>
      <c r="K4932" t="n">
        <v>0</v>
      </c>
      <c r="L4932" t="n">
        <v>0</v>
      </c>
      <c r="M4932" t="n">
        <v>0</v>
      </c>
      <c r="N4932" t="n">
        <v>0</v>
      </c>
      <c r="O4932" t="n">
        <v>0</v>
      </c>
      <c r="P4932" t="n">
        <v>0</v>
      </c>
      <c r="Q4932" t="n">
        <v>0</v>
      </c>
      <c r="R4932" s="2" t="inlineStr"/>
    </row>
    <row r="4933" ht="15" customHeight="1">
      <c r="A4933" t="inlineStr">
        <is>
          <t>A 57430-2022</t>
        </is>
      </c>
      <c r="B4933" s="1" t="n">
        <v>44896</v>
      </c>
      <c r="C4933" s="1" t="n">
        <v>45210</v>
      </c>
      <c r="D4933" t="inlineStr">
        <is>
          <t>DALARNAS LÄN</t>
        </is>
      </c>
      <c r="E4933" t="inlineStr">
        <is>
          <t>SÄTER</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57337-2022</t>
        </is>
      </c>
      <c r="B4934" s="1" t="n">
        <v>44896</v>
      </c>
      <c r="C4934" s="1" t="n">
        <v>45210</v>
      </c>
      <c r="D4934" t="inlineStr">
        <is>
          <t>DALARNAS LÄN</t>
        </is>
      </c>
      <c r="E4934" t="inlineStr">
        <is>
          <t>SÄTER</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57438-2022</t>
        </is>
      </c>
      <c r="B4935" s="1" t="n">
        <v>44896</v>
      </c>
      <c r="C4935" s="1" t="n">
        <v>45210</v>
      </c>
      <c r="D4935" t="inlineStr">
        <is>
          <t>DALARNAS LÄN</t>
        </is>
      </c>
      <c r="E4935" t="inlineStr">
        <is>
          <t>LEKSAND</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57645-2022</t>
        </is>
      </c>
      <c r="B4936" s="1" t="n">
        <v>44897</v>
      </c>
      <c r="C4936" s="1" t="n">
        <v>45210</v>
      </c>
      <c r="D4936" t="inlineStr">
        <is>
          <t>DALARNAS LÄN</t>
        </is>
      </c>
      <c r="E4936" t="inlineStr">
        <is>
          <t>MALUNG-SÄLEN</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57629-2022</t>
        </is>
      </c>
      <c r="B4937" s="1" t="n">
        <v>44897</v>
      </c>
      <c r="C4937" s="1" t="n">
        <v>45210</v>
      </c>
      <c r="D4937" t="inlineStr">
        <is>
          <t>DALARNAS LÄN</t>
        </is>
      </c>
      <c r="E4937" t="inlineStr">
        <is>
          <t>SMEDJEBACKEN</t>
        </is>
      </c>
      <c r="F4937" t="inlineStr">
        <is>
          <t>Kyrkan</t>
        </is>
      </c>
      <c r="G4937" t="n">
        <v>1.6</v>
      </c>
      <c r="H4937" t="n">
        <v>0</v>
      </c>
      <c r="I4937" t="n">
        <v>0</v>
      </c>
      <c r="J4937" t="n">
        <v>0</v>
      </c>
      <c r="K4937" t="n">
        <v>0</v>
      </c>
      <c r="L4937" t="n">
        <v>0</v>
      </c>
      <c r="M4937" t="n">
        <v>0</v>
      </c>
      <c r="N4937" t="n">
        <v>0</v>
      </c>
      <c r="O4937" t="n">
        <v>0</v>
      </c>
      <c r="P4937" t="n">
        <v>0</v>
      </c>
      <c r="Q4937" t="n">
        <v>0</v>
      </c>
      <c r="R4937" s="2" t="inlineStr"/>
    </row>
    <row r="4938" ht="15" customHeight="1">
      <c r="A4938" t="inlineStr">
        <is>
          <t>A 57729-2022</t>
        </is>
      </c>
      <c r="B4938" s="1" t="n">
        <v>44897</v>
      </c>
      <c r="C4938" s="1" t="n">
        <v>45210</v>
      </c>
      <c r="D4938" t="inlineStr">
        <is>
          <t>DALARNAS LÄN</t>
        </is>
      </c>
      <c r="E4938" t="inlineStr">
        <is>
          <t>GAGNEF</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59307-2022</t>
        </is>
      </c>
      <c r="B4939" s="1" t="n">
        <v>44897</v>
      </c>
      <c r="C4939" s="1" t="n">
        <v>45210</v>
      </c>
      <c r="D4939" t="inlineStr">
        <is>
          <t>DALARNAS LÄN</t>
        </is>
      </c>
      <c r="E4939" t="inlineStr">
        <is>
          <t>RÄTTVIK</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57669-2022</t>
        </is>
      </c>
      <c r="B4940" s="1" t="n">
        <v>44897</v>
      </c>
      <c r="C4940" s="1" t="n">
        <v>45210</v>
      </c>
      <c r="D4940" t="inlineStr">
        <is>
          <t>DALARNAS LÄN</t>
        </is>
      </c>
      <c r="E4940" t="inlineStr">
        <is>
          <t>MORA</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57742-2022</t>
        </is>
      </c>
      <c r="B4941" s="1" t="n">
        <v>44897</v>
      </c>
      <c r="C4941" s="1" t="n">
        <v>45210</v>
      </c>
      <c r="D4941" t="inlineStr">
        <is>
          <t>DALARNAS LÄN</t>
        </is>
      </c>
      <c r="E4941" t="inlineStr">
        <is>
          <t>MALUNG-SÄLEN</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57797-2022</t>
        </is>
      </c>
      <c r="B4942" s="1" t="n">
        <v>44897</v>
      </c>
      <c r="C4942" s="1" t="n">
        <v>45210</v>
      </c>
      <c r="D4942" t="inlineStr">
        <is>
          <t>DALARNAS LÄN</t>
        </is>
      </c>
      <c r="E4942" t="inlineStr">
        <is>
          <t>MORA</t>
        </is>
      </c>
      <c r="G4942" t="n">
        <v>3.1</v>
      </c>
      <c r="H4942" t="n">
        <v>0</v>
      </c>
      <c r="I4942" t="n">
        <v>0</v>
      </c>
      <c r="J4942" t="n">
        <v>0</v>
      </c>
      <c r="K4942" t="n">
        <v>0</v>
      </c>
      <c r="L4942" t="n">
        <v>0</v>
      </c>
      <c r="M4942" t="n">
        <v>0</v>
      </c>
      <c r="N4942" t="n">
        <v>0</v>
      </c>
      <c r="O4942" t="n">
        <v>0</v>
      </c>
      <c r="P4942" t="n">
        <v>0</v>
      </c>
      <c r="Q4942" t="n">
        <v>0</v>
      </c>
      <c r="R4942" s="2" t="inlineStr"/>
    </row>
    <row r="4943" ht="15" customHeight="1">
      <c r="A4943" t="inlineStr">
        <is>
          <t>A 57859-2022</t>
        </is>
      </c>
      <c r="B4943" s="1" t="n">
        <v>44898</v>
      </c>
      <c r="C4943" s="1" t="n">
        <v>45210</v>
      </c>
      <c r="D4943" t="inlineStr">
        <is>
          <t>DALARNAS LÄN</t>
        </is>
      </c>
      <c r="E4943" t="inlineStr">
        <is>
          <t>MORA</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57882-2022</t>
        </is>
      </c>
      <c r="B4944" s="1" t="n">
        <v>44899</v>
      </c>
      <c r="C4944" s="1" t="n">
        <v>45210</v>
      </c>
      <c r="D4944" t="inlineStr">
        <is>
          <t>DALARNAS LÄN</t>
        </is>
      </c>
      <c r="E4944" t="inlineStr">
        <is>
          <t>VANSBRO</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58068-2022</t>
        </is>
      </c>
      <c r="B4945" s="1" t="n">
        <v>44900</v>
      </c>
      <c r="C4945" s="1" t="n">
        <v>45210</v>
      </c>
      <c r="D4945" t="inlineStr">
        <is>
          <t>DALARNAS LÄN</t>
        </is>
      </c>
      <c r="E4945" t="inlineStr">
        <is>
          <t>ORSA</t>
        </is>
      </c>
      <c r="F4945" t="inlineStr">
        <is>
          <t>Bergvik skog öst AB</t>
        </is>
      </c>
      <c r="G4945" t="n">
        <v>10.6</v>
      </c>
      <c r="H4945" t="n">
        <v>0</v>
      </c>
      <c r="I4945" t="n">
        <v>0</v>
      </c>
      <c r="J4945" t="n">
        <v>0</v>
      </c>
      <c r="K4945" t="n">
        <v>0</v>
      </c>
      <c r="L4945" t="n">
        <v>0</v>
      </c>
      <c r="M4945" t="n">
        <v>0</v>
      </c>
      <c r="N4945" t="n">
        <v>0</v>
      </c>
      <c r="O4945" t="n">
        <v>0</v>
      </c>
      <c r="P4945" t="n">
        <v>0</v>
      </c>
      <c r="Q4945" t="n">
        <v>0</v>
      </c>
      <c r="R4945" s="2" t="inlineStr"/>
    </row>
    <row r="4946" ht="15" customHeight="1">
      <c r="A4946" t="inlineStr">
        <is>
          <t>A 57895-2022</t>
        </is>
      </c>
      <c r="B4946" s="1" t="n">
        <v>44900</v>
      </c>
      <c r="C4946" s="1" t="n">
        <v>45210</v>
      </c>
      <c r="D4946" t="inlineStr">
        <is>
          <t>DALARNAS LÄN</t>
        </is>
      </c>
      <c r="E4946" t="inlineStr">
        <is>
          <t>MALUNG-SÄLEN</t>
        </is>
      </c>
      <c r="F4946" t="inlineStr">
        <is>
          <t>Allmännings- och besparingsskogar</t>
        </is>
      </c>
      <c r="G4946" t="n">
        <v>6</v>
      </c>
      <c r="H4946" t="n">
        <v>0</v>
      </c>
      <c r="I4946" t="n">
        <v>0</v>
      </c>
      <c r="J4946" t="n">
        <v>0</v>
      </c>
      <c r="K4946" t="n">
        <v>0</v>
      </c>
      <c r="L4946" t="n">
        <v>0</v>
      </c>
      <c r="M4946" t="n">
        <v>0</v>
      </c>
      <c r="N4946" t="n">
        <v>0</v>
      </c>
      <c r="O4946" t="n">
        <v>0</v>
      </c>
      <c r="P4946" t="n">
        <v>0</v>
      </c>
      <c r="Q4946" t="n">
        <v>0</v>
      </c>
      <c r="R4946" s="2" t="inlineStr"/>
    </row>
    <row r="4947" ht="15" customHeight="1">
      <c r="A4947" t="inlineStr">
        <is>
          <t>A 58005-2022</t>
        </is>
      </c>
      <c r="B4947" s="1" t="n">
        <v>44900</v>
      </c>
      <c r="C4947" s="1" t="n">
        <v>45210</v>
      </c>
      <c r="D4947" t="inlineStr">
        <is>
          <t>DALARNAS LÄN</t>
        </is>
      </c>
      <c r="E4947" t="inlineStr">
        <is>
          <t>HEDEMORA</t>
        </is>
      </c>
      <c r="G4947" t="n">
        <v>2.2</v>
      </c>
      <c r="H4947" t="n">
        <v>0</v>
      </c>
      <c r="I4947" t="n">
        <v>0</v>
      </c>
      <c r="J4947" t="n">
        <v>0</v>
      </c>
      <c r="K4947" t="n">
        <v>0</v>
      </c>
      <c r="L4947" t="n">
        <v>0</v>
      </c>
      <c r="M4947" t="n">
        <v>0</v>
      </c>
      <c r="N4947" t="n">
        <v>0</v>
      </c>
      <c r="O4947" t="n">
        <v>0</v>
      </c>
      <c r="P4947" t="n">
        <v>0</v>
      </c>
      <c r="Q4947" t="n">
        <v>0</v>
      </c>
      <c r="R4947" s="2" t="inlineStr"/>
    </row>
    <row r="4948" ht="15" customHeight="1">
      <c r="A4948" t="inlineStr">
        <is>
          <t>A 58094-2022</t>
        </is>
      </c>
      <c r="B4948" s="1" t="n">
        <v>44900</v>
      </c>
      <c r="C4948" s="1" t="n">
        <v>45210</v>
      </c>
      <c r="D4948" t="inlineStr">
        <is>
          <t>DALARNAS LÄN</t>
        </is>
      </c>
      <c r="E4948" t="inlineStr">
        <is>
          <t>AVESTA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58032-2022</t>
        </is>
      </c>
      <c r="B4949" s="1" t="n">
        <v>44900</v>
      </c>
      <c r="C4949" s="1" t="n">
        <v>45210</v>
      </c>
      <c r="D4949" t="inlineStr">
        <is>
          <t>DALARNAS LÄN</t>
        </is>
      </c>
      <c r="E4949" t="inlineStr">
        <is>
          <t>BORLÄNGE</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57909-2022</t>
        </is>
      </c>
      <c r="B4950" s="1" t="n">
        <v>44900</v>
      </c>
      <c r="C4950" s="1" t="n">
        <v>45210</v>
      </c>
      <c r="D4950" t="inlineStr">
        <is>
          <t>DALARNAS LÄN</t>
        </is>
      </c>
      <c r="E4950" t="inlineStr">
        <is>
          <t>MALUNG-SÄLEN</t>
        </is>
      </c>
      <c r="F4950" t="inlineStr">
        <is>
          <t>Allmännings- och besparingsskogar</t>
        </is>
      </c>
      <c r="G4950" t="n">
        <v>16.2</v>
      </c>
      <c r="H4950" t="n">
        <v>0</v>
      </c>
      <c r="I4950" t="n">
        <v>0</v>
      </c>
      <c r="J4950" t="n">
        <v>0</v>
      </c>
      <c r="K4950" t="n">
        <v>0</v>
      </c>
      <c r="L4950" t="n">
        <v>0</v>
      </c>
      <c r="M4950" t="n">
        <v>0</v>
      </c>
      <c r="N4950" t="n">
        <v>0</v>
      </c>
      <c r="O4950" t="n">
        <v>0</v>
      </c>
      <c r="P4950" t="n">
        <v>0</v>
      </c>
      <c r="Q4950" t="n">
        <v>0</v>
      </c>
      <c r="R4950" s="2" t="inlineStr"/>
    </row>
    <row r="4951" ht="15" customHeight="1">
      <c r="A4951" t="inlineStr">
        <is>
          <t>A 58569-2022</t>
        </is>
      </c>
      <c r="B4951" s="1" t="n">
        <v>44902</v>
      </c>
      <c r="C4951" s="1" t="n">
        <v>45210</v>
      </c>
      <c r="D4951" t="inlineStr">
        <is>
          <t>DALARNAS LÄN</t>
        </is>
      </c>
      <c r="E4951" t="inlineStr">
        <is>
          <t>ÄLVDALEN</t>
        </is>
      </c>
      <c r="F4951" t="inlineStr">
        <is>
          <t>Bergvik skog öst AB</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58525-2022</t>
        </is>
      </c>
      <c r="B4952" s="1" t="n">
        <v>44902</v>
      </c>
      <c r="C4952" s="1" t="n">
        <v>45210</v>
      </c>
      <c r="D4952" t="inlineStr">
        <is>
          <t>DALARNAS LÄN</t>
        </is>
      </c>
      <c r="E4952" t="inlineStr">
        <is>
          <t>MORA</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58468-2022</t>
        </is>
      </c>
      <c r="B4953" s="1" t="n">
        <v>44902</v>
      </c>
      <c r="C4953" s="1" t="n">
        <v>45210</v>
      </c>
      <c r="D4953" t="inlineStr">
        <is>
          <t>DALARNAS LÄN</t>
        </is>
      </c>
      <c r="E4953" t="inlineStr">
        <is>
          <t>SMEDJEBACKEN</t>
        </is>
      </c>
      <c r="F4953" t="inlineStr">
        <is>
          <t>Kyrkan</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58802-2022</t>
        </is>
      </c>
      <c r="B4954" s="1" t="n">
        <v>44903</v>
      </c>
      <c r="C4954" s="1" t="n">
        <v>45210</v>
      </c>
      <c r="D4954" t="inlineStr">
        <is>
          <t>DALARNAS LÄN</t>
        </is>
      </c>
      <c r="E4954" t="inlineStr">
        <is>
          <t>FALUN</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58846-2022</t>
        </is>
      </c>
      <c r="B4955" s="1" t="n">
        <v>44903</v>
      </c>
      <c r="C4955" s="1" t="n">
        <v>45210</v>
      </c>
      <c r="D4955" t="inlineStr">
        <is>
          <t>DALARNAS LÄN</t>
        </is>
      </c>
      <c r="E4955" t="inlineStr">
        <is>
          <t>ORSA</t>
        </is>
      </c>
      <c r="F4955" t="inlineStr">
        <is>
          <t>Bergvik skog öst AB</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58945-2022</t>
        </is>
      </c>
      <c r="B4956" s="1" t="n">
        <v>44903</v>
      </c>
      <c r="C4956" s="1" t="n">
        <v>45210</v>
      </c>
      <c r="D4956" t="inlineStr">
        <is>
          <t>DALARNAS LÄN</t>
        </is>
      </c>
      <c r="E4956" t="inlineStr">
        <is>
          <t>SMEDJEBACKEN</t>
        </is>
      </c>
      <c r="F4956" t="inlineStr">
        <is>
          <t>Kyrkan</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59050-2022</t>
        </is>
      </c>
      <c r="B4957" s="1" t="n">
        <v>44903</v>
      </c>
      <c r="C4957" s="1" t="n">
        <v>45210</v>
      </c>
      <c r="D4957" t="inlineStr">
        <is>
          <t>DALARNAS LÄN</t>
        </is>
      </c>
      <c r="E4957" t="inlineStr">
        <is>
          <t>LUDVIKA</t>
        </is>
      </c>
      <c r="G4957" t="n">
        <v>2.8</v>
      </c>
      <c r="H4957" t="n">
        <v>0</v>
      </c>
      <c r="I4957" t="n">
        <v>0</v>
      </c>
      <c r="J4957" t="n">
        <v>0</v>
      </c>
      <c r="K4957" t="n">
        <v>0</v>
      </c>
      <c r="L4957" t="n">
        <v>0</v>
      </c>
      <c r="M4957" t="n">
        <v>0</v>
      </c>
      <c r="N4957" t="n">
        <v>0</v>
      </c>
      <c r="O4957" t="n">
        <v>0</v>
      </c>
      <c r="P4957" t="n">
        <v>0</v>
      </c>
      <c r="Q4957" t="n">
        <v>0</v>
      </c>
      <c r="R4957" s="2" t="inlineStr"/>
    </row>
    <row r="4958" ht="15" customHeight="1">
      <c r="A4958" t="inlineStr">
        <is>
          <t>A 60300-2022</t>
        </is>
      </c>
      <c r="B4958" s="1" t="n">
        <v>44903</v>
      </c>
      <c r="C4958" s="1" t="n">
        <v>45210</v>
      </c>
      <c r="D4958" t="inlineStr">
        <is>
          <t>DALARNAS LÄN</t>
        </is>
      </c>
      <c r="E4958" t="inlineStr">
        <is>
          <t>LEKSAND</t>
        </is>
      </c>
      <c r="G4958" t="n">
        <v>2.7</v>
      </c>
      <c r="H4958" t="n">
        <v>0</v>
      </c>
      <c r="I4958" t="n">
        <v>0</v>
      </c>
      <c r="J4958" t="n">
        <v>0</v>
      </c>
      <c r="K4958" t="n">
        <v>0</v>
      </c>
      <c r="L4958" t="n">
        <v>0</v>
      </c>
      <c r="M4958" t="n">
        <v>0</v>
      </c>
      <c r="N4958" t="n">
        <v>0</v>
      </c>
      <c r="O4958" t="n">
        <v>0</v>
      </c>
      <c r="P4958" t="n">
        <v>0</v>
      </c>
      <c r="Q4958" t="n">
        <v>0</v>
      </c>
      <c r="R4958" s="2" t="inlineStr"/>
    </row>
    <row r="4959" ht="15" customHeight="1">
      <c r="A4959" t="inlineStr">
        <is>
          <t>A 58772-2022</t>
        </is>
      </c>
      <c r="B4959" s="1" t="n">
        <v>44903</v>
      </c>
      <c r="C4959" s="1" t="n">
        <v>45210</v>
      </c>
      <c r="D4959" t="inlineStr">
        <is>
          <t>DALARNAS LÄN</t>
        </is>
      </c>
      <c r="E4959" t="inlineStr">
        <is>
          <t>MALUNG-SÄLEN</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58840-2022</t>
        </is>
      </c>
      <c r="B4960" s="1" t="n">
        <v>44903</v>
      </c>
      <c r="C4960" s="1" t="n">
        <v>45210</v>
      </c>
      <c r="D4960" t="inlineStr">
        <is>
          <t>DALARNAS LÄN</t>
        </is>
      </c>
      <c r="E4960" t="inlineStr">
        <is>
          <t>MALUNG-SÄLEN</t>
        </is>
      </c>
      <c r="G4960" t="n">
        <v>4</v>
      </c>
      <c r="H4960" t="n">
        <v>0</v>
      </c>
      <c r="I4960" t="n">
        <v>0</v>
      </c>
      <c r="J4960" t="n">
        <v>0</v>
      </c>
      <c r="K4960" t="n">
        <v>0</v>
      </c>
      <c r="L4960" t="n">
        <v>0</v>
      </c>
      <c r="M4960" t="n">
        <v>0</v>
      </c>
      <c r="N4960" t="n">
        <v>0</v>
      </c>
      <c r="O4960" t="n">
        <v>0</v>
      </c>
      <c r="P4960" t="n">
        <v>0</v>
      </c>
      <c r="Q4960" t="n">
        <v>0</v>
      </c>
      <c r="R4960" s="2" t="inlineStr"/>
    </row>
    <row r="4961" ht="15" customHeight="1">
      <c r="A4961" t="inlineStr">
        <is>
          <t>A 58853-2022</t>
        </is>
      </c>
      <c r="B4961" s="1" t="n">
        <v>44903</v>
      </c>
      <c r="C4961" s="1" t="n">
        <v>45210</v>
      </c>
      <c r="D4961" t="inlineStr">
        <is>
          <t>DALARNAS LÄN</t>
        </is>
      </c>
      <c r="E4961" t="inlineStr">
        <is>
          <t>ORSA</t>
        </is>
      </c>
      <c r="F4961" t="inlineStr">
        <is>
          <t>Bergvik skog öst AB</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60303-2022</t>
        </is>
      </c>
      <c r="B4962" s="1" t="n">
        <v>44903</v>
      </c>
      <c r="C4962" s="1" t="n">
        <v>45210</v>
      </c>
      <c r="D4962" t="inlineStr">
        <is>
          <t>DALARNAS LÄN</t>
        </is>
      </c>
      <c r="E4962" t="inlineStr">
        <is>
          <t>RÄTTVIK</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59088-2022</t>
        </is>
      </c>
      <c r="B4963" s="1" t="n">
        <v>44904</v>
      </c>
      <c r="C4963" s="1" t="n">
        <v>45210</v>
      </c>
      <c r="D4963" t="inlineStr">
        <is>
          <t>DALARNAS LÄN</t>
        </is>
      </c>
      <c r="E4963" t="inlineStr">
        <is>
          <t>HEDEMORA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59209-2022</t>
        </is>
      </c>
      <c r="B4964" s="1" t="n">
        <v>44904</v>
      </c>
      <c r="C4964" s="1" t="n">
        <v>45210</v>
      </c>
      <c r="D4964" t="inlineStr">
        <is>
          <t>DALARNAS LÄN</t>
        </is>
      </c>
      <c r="E4964" t="inlineStr">
        <is>
          <t>ÄLVDALEN</t>
        </is>
      </c>
      <c r="G4964" t="n">
        <v>2.6</v>
      </c>
      <c r="H4964" t="n">
        <v>0</v>
      </c>
      <c r="I4964" t="n">
        <v>0</v>
      </c>
      <c r="J4964" t="n">
        <v>0</v>
      </c>
      <c r="K4964" t="n">
        <v>0</v>
      </c>
      <c r="L4964" t="n">
        <v>0</v>
      </c>
      <c r="M4964" t="n">
        <v>0</v>
      </c>
      <c r="N4964" t="n">
        <v>0</v>
      </c>
      <c r="O4964" t="n">
        <v>0</v>
      </c>
      <c r="P4964" t="n">
        <v>0</v>
      </c>
      <c r="Q4964" t="n">
        <v>0</v>
      </c>
      <c r="R4964" s="2" t="inlineStr"/>
    </row>
    <row r="4965" ht="15" customHeight="1">
      <c r="A4965" t="inlineStr">
        <is>
          <t>A 59207-2022</t>
        </is>
      </c>
      <c r="B4965" s="1" t="n">
        <v>44904</v>
      </c>
      <c r="C4965" s="1" t="n">
        <v>45210</v>
      </c>
      <c r="D4965" t="inlineStr">
        <is>
          <t>DALARNAS LÄN</t>
        </is>
      </c>
      <c r="E4965" t="inlineStr">
        <is>
          <t>ÄLVDALEN</t>
        </is>
      </c>
      <c r="G4965" t="n">
        <v>4.7</v>
      </c>
      <c r="H4965" t="n">
        <v>0</v>
      </c>
      <c r="I4965" t="n">
        <v>0</v>
      </c>
      <c r="J4965" t="n">
        <v>0</v>
      </c>
      <c r="K4965" t="n">
        <v>0</v>
      </c>
      <c r="L4965" t="n">
        <v>0</v>
      </c>
      <c r="M4965" t="n">
        <v>0</v>
      </c>
      <c r="N4965" t="n">
        <v>0</v>
      </c>
      <c r="O4965" t="n">
        <v>0</v>
      </c>
      <c r="P4965" t="n">
        <v>0</v>
      </c>
      <c r="Q4965" t="n">
        <v>0</v>
      </c>
      <c r="R4965" s="2" t="inlineStr"/>
    </row>
    <row r="4966" ht="15" customHeight="1">
      <c r="A4966" t="inlineStr">
        <is>
          <t>A 59108-2022</t>
        </is>
      </c>
      <c r="B4966" s="1" t="n">
        <v>44904</v>
      </c>
      <c r="C4966" s="1" t="n">
        <v>45210</v>
      </c>
      <c r="D4966" t="inlineStr">
        <is>
          <t>DALARNAS LÄN</t>
        </is>
      </c>
      <c r="E4966" t="inlineStr">
        <is>
          <t>ÄLVDALEN</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60910-2022</t>
        </is>
      </c>
      <c r="B4967" s="1" t="n">
        <v>44907</v>
      </c>
      <c r="C4967" s="1" t="n">
        <v>45210</v>
      </c>
      <c r="D4967" t="inlineStr">
        <is>
          <t>DALARNAS LÄN</t>
        </is>
      </c>
      <c r="E4967" t="inlineStr">
        <is>
          <t>RÄTTVIK</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59452-2022</t>
        </is>
      </c>
      <c r="B4968" s="1" t="n">
        <v>44907</v>
      </c>
      <c r="C4968" s="1" t="n">
        <v>45210</v>
      </c>
      <c r="D4968" t="inlineStr">
        <is>
          <t>DALARNAS LÄN</t>
        </is>
      </c>
      <c r="E4968" t="inlineStr">
        <is>
          <t>MALUNG-SÄLEN</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59603-2022</t>
        </is>
      </c>
      <c r="B4969" s="1" t="n">
        <v>44907</v>
      </c>
      <c r="C4969" s="1" t="n">
        <v>45210</v>
      </c>
      <c r="D4969" t="inlineStr">
        <is>
          <t>DALARNAS LÄN</t>
        </is>
      </c>
      <c r="E4969" t="inlineStr">
        <is>
          <t>MALUNG-SÄLEN</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59419-2022</t>
        </is>
      </c>
      <c r="B4970" s="1" t="n">
        <v>44907</v>
      </c>
      <c r="C4970" s="1" t="n">
        <v>45210</v>
      </c>
      <c r="D4970" t="inlineStr">
        <is>
          <t>DALARNAS LÄN</t>
        </is>
      </c>
      <c r="E4970" t="inlineStr">
        <is>
          <t>MORA</t>
        </is>
      </c>
      <c r="G4970" t="n">
        <v>9.1</v>
      </c>
      <c r="H4970" t="n">
        <v>0</v>
      </c>
      <c r="I4970" t="n">
        <v>0</v>
      </c>
      <c r="J4970" t="n">
        <v>0</v>
      </c>
      <c r="K4970" t="n">
        <v>0</v>
      </c>
      <c r="L4970" t="n">
        <v>0</v>
      </c>
      <c r="M4970" t="n">
        <v>0</v>
      </c>
      <c r="N4970" t="n">
        <v>0</v>
      </c>
      <c r="O4970" t="n">
        <v>0</v>
      </c>
      <c r="P4970" t="n">
        <v>0</v>
      </c>
      <c r="Q4970" t="n">
        <v>0</v>
      </c>
      <c r="R4970" s="2" t="inlineStr"/>
    </row>
    <row r="4971" ht="15" customHeight="1">
      <c r="A4971" t="inlineStr">
        <is>
          <t>A 59448-2022</t>
        </is>
      </c>
      <c r="B4971" s="1" t="n">
        <v>44907</v>
      </c>
      <c r="C4971" s="1" t="n">
        <v>45210</v>
      </c>
      <c r="D4971" t="inlineStr">
        <is>
          <t>DALARNAS LÄN</t>
        </is>
      </c>
      <c r="E4971" t="inlineStr">
        <is>
          <t>MORA</t>
        </is>
      </c>
      <c r="G4971" t="n">
        <v>35.7</v>
      </c>
      <c r="H4971" t="n">
        <v>0</v>
      </c>
      <c r="I4971" t="n">
        <v>0</v>
      </c>
      <c r="J4971" t="n">
        <v>0</v>
      </c>
      <c r="K4971" t="n">
        <v>0</v>
      </c>
      <c r="L4971" t="n">
        <v>0</v>
      </c>
      <c r="M4971" t="n">
        <v>0</v>
      </c>
      <c r="N4971" t="n">
        <v>0</v>
      </c>
      <c r="O4971" t="n">
        <v>0</v>
      </c>
      <c r="P4971" t="n">
        <v>0</v>
      </c>
      <c r="Q4971" t="n">
        <v>0</v>
      </c>
      <c r="R4971" s="2" t="inlineStr"/>
    </row>
    <row r="4972" ht="15" customHeight="1">
      <c r="A4972" t="inlineStr">
        <is>
          <t>A 59682-2022</t>
        </is>
      </c>
      <c r="B4972" s="1" t="n">
        <v>44908</v>
      </c>
      <c r="C4972" s="1" t="n">
        <v>45210</v>
      </c>
      <c r="D4972" t="inlineStr">
        <is>
          <t>DALARNAS LÄN</t>
        </is>
      </c>
      <c r="E4972" t="inlineStr">
        <is>
          <t>BORLÄNGE</t>
        </is>
      </c>
      <c r="G4972" t="n">
        <v>12.1</v>
      </c>
      <c r="H4972" t="n">
        <v>0</v>
      </c>
      <c r="I4972" t="n">
        <v>0</v>
      </c>
      <c r="J4972" t="n">
        <v>0</v>
      </c>
      <c r="K4972" t="n">
        <v>0</v>
      </c>
      <c r="L4972" t="n">
        <v>0</v>
      </c>
      <c r="M4972" t="n">
        <v>0</v>
      </c>
      <c r="N4972" t="n">
        <v>0</v>
      </c>
      <c r="O4972" t="n">
        <v>0</v>
      </c>
      <c r="P4972" t="n">
        <v>0</v>
      </c>
      <c r="Q4972" t="n">
        <v>0</v>
      </c>
      <c r="R4972" s="2" t="inlineStr"/>
    </row>
    <row r="4973" ht="15" customHeight="1">
      <c r="A4973" t="inlineStr">
        <is>
          <t>A 59707-2022</t>
        </is>
      </c>
      <c r="B4973" s="1" t="n">
        <v>44908</v>
      </c>
      <c r="C4973" s="1" t="n">
        <v>45210</v>
      </c>
      <c r="D4973" t="inlineStr">
        <is>
          <t>DALARNAS LÄN</t>
        </is>
      </c>
      <c r="E4973" t="inlineStr">
        <is>
          <t>SÄTER</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59875-2022</t>
        </is>
      </c>
      <c r="B4974" s="1" t="n">
        <v>44908</v>
      </c>
      <c r="C4974" s="1" t="n">
        <v>45210</v>
      </c>
      <c r="D4974" t="inlineStr">
        <is>
          <t>DALARNAS LÄN</t>
        </is>
      </c>
      <c r="E4974" t="inlineStr">
        <is>
          <t>MALUNG-SÄLEN</t>
        </is>
      </c>
      <c r="F4974" t="inlineStr">
        <is>
          <t>Kommuner</t>
        </is>
      </c>
      <c r="G4974" t="n">
        <v>17.8</v>
      </c>
      <c r="H4974" t="n">
        <v>0</v>
      </c>
      <c r="I4974" t="n">
        <v>0</v>
      </c>
      <c r="J4974" t="n">
        <v>0</v>
      </c>
      <c r="K4974" t="n">
        <v>0</v>
      </c>
      <c r="L4974" t="n">
        <v>0</v>
      </c>
      <c r="M4974" t="n">
        <v>0</v>
      </c>
      <c r="N4974" t="n">
        <v>0</v>
      </c>
      <c r="O4974" t="n">
        <v>0</v>
      </c>
      <c r="P4974" t="n">
        <v>0</v>
      </c>
      <c r="Q4974" t="n">
        <v>0</v>
      </c>
      <c r="R4974" s="2" t="inlineStr"/>
    </row>
    <row r="4975" ht="15" customHeight="1">
      <c r="A4975" t="inlineStr">
        <is>
          <t>A 59736-2022</t>
        </is>
      </c>
      <c r="B4975" s="1" t="n">
        <v>44908</v>
      </c>
      <c r="C4975" s="1" t="n">
        <v>45210</v>
      </c>
      <c r="D4975" t="inlineStr">
        <is>
          <t>DALARNAS LÄN</t>
        </is>
      </c>
      <c r="E4975" t="inlineStr">
        <is>
          <t>VANSBRO</t>
        </is>
      </c>
      <c r="G4975" t="n">
        <v>3</v>
      </c>
      <c r="H4975" t="n">
        <v>0</v>
      </c>
      <c r="I4975" t="n">
        <v>0</v>
      </c>
      <c r="J4975" t="n">
        <v>0</v>
      </c>
      <c r="K4975" t="n">
        <v>0</v>
      </c>
      <c r="L4975" t="n">
        <v>0</v>
      </c>
      <c r="M4975" t="n">
        <v>0</v>
      </c>
      <c r="N4975" t="n">
        <v>0</v>
      </c>
      <c r="O4975" t="n">
        <v>0</v>
      </c>
      <c r="P4975" t="n">
        <v>0</v>
      </c>
      <c r="Q4975" t="n">
        <v>0</v>
      </c>
      <c r="R4975" s="2" t="inlineStr"/>
    </row>
    <row r="4976" ht="15" customHeight="1">
      <c r="A4976" t="inlineStr">
        <is>
          <t>A 59753-2022</t>
        </is>
      </c>
      <c r="B4976" s="1" t="n">
        <v>44908</v>
      </c>
      <c r="C4976" s="1" t="n">
        <v>45210</v>
      </c>
      <c r="D4976" t="inlineStr">
        <is>
          <t>DALARNAS LÄN</t>
        </is>
      </c>
      <c r="E4976" t="inlineStr">
        <is>
          <t>MALUNG-SÄLEN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59737-2022</t>
        </is>
      </c>
      <c r="B4977" s="1" t="n">
        <v>44908</v>
      </c>
      <c r="C4977" s="1" t="n">
        <v>45210</v>
      </c>
      <c r="D4977" t="inlineStr">
        <is>
          <t>DALARNAS LÄN</t>
        </is>
      </c>
      <c r="E4977" t="inlineStr">
        <is>
          <t>ORSA</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59991-2022</t>
        </is>
      </c>
      <c r="B4978" s="1" t="n">
        <v>44909</v>
      </c>
      <c r="C4978" s="1" t="n">
        <v>45210</v>
      </c>
      <c r="D4978" t="inlineStr">
        <is>
          <t>DALARNAS LÄN</t>
        </is>
      </c>
      <c r="E4978" t="inlineStr">
        <is>
          <t>RÄTTVIK</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60031-2022</t>
        </is>
      </c>
      <c r="B4979" s="1" t="n">
        <v>44909</v>
      </c>
      <c r="C4979" s="1" t="n">
        <v>45210</v>
      </c>
      <c r="D4979" t="inlineStr">
        <is>
          <t>DALARNAS LÄN</t>
        </is>
      </c>
      <c r="E4979" t="inlineStr">
        <is>
          <t>VANSBRO</t>
        </is>
      </c>
      <c r="G4979" t="n">
        <v>0.1</v>
      </c>
      <c r="H4979" t="n">
        <v>0</v>
      </c>
      <c r="I4979" t="n">
        <v>0</v>
      </c>
      <c r="J4979" t="n">
        <v>0</v>
      </c>
      <c r="K4979" t="n">
        <v>0</v>
      </c>
      <c r="L4979" t="n">
        <v>0</v>
      </c>
      <c r="M4979" t="n">
        <v>0</v>
      </c>
      <c r="N4979" t="n">
        <v>0</v>
      </c>
      <c r="O4979" t="n">
        <v>0</v>
      </c>
      <c r="P4979" t="n">
        <v>0</v>
      </c>
      <c r="Q4979" t="n">
        <v>0</v>
      </c>
      <c r="R4979" s="2" t="inlineStr"/>
    </row>
    <row r="4980" ht="15" customHeight="1">
      <c r="A4980" t="inlineStr">
        <is>
          <t>A 60082-2022</t>
        </is>
      </c>
      <c r="B4980" s="1" t="n">
        <v>44909</v>
      </c>
      <c r="C4980" s="1" t="n">
        <v>45210</v>
      </c>
      <c r="D4980" t="inlineStr">
        <is>
          <t>DALARNAS LÄN</t>
        </is>
      </c>
      <c r="E4980" t="inlineStr">
        <is>
          <t>FALUN</t>
        </is>
      </c>
      <c r="G4980" t="n">
        <v>9</v>
      </c>
      <c r="H4980" t="n">
        <v>0</v>
      </c>
      <c r="I4980" t="n">
        <v>0</v>
      </c>
      <c r="J4980" t="n">
        <v>0</v>
      </c>
      <c r="K4980" t="n">
        <v>0</v>
      </c>
      <c r="L4980" t="n">
        <v>0</v>
      </c>
      <c r="M4980" t="n">
        <v>0</v>
      </c>
      <c r="N4980" t="n">
        <v>0</v>
      </c>
      <c r="O4980" t="n">
        <v>0</v>
      </c>
      <c r="P4980" t="n">
        <v>0</v>
      </c>
      <c r="Q4980" t="n">
        <v>0</v>
      </c>
      <c r="R4980" s="2" t="inlineStr"/>
    </row>
    <row r="4981" ht="15" customHeight="1">
      <c r="A4981" t="inlineStr">
        <is>
          <t>A 60095-2022</t>
        </is>
      </c>
      <c r="B4981" s="1" t="n">
        <v>44909</v>
      </c>
      <c r="C4981" s="1" t="n">
        <v>45210</v>
      </c>
      <c r="D4981" t="inlineStr">
        <is>
          <t>DALARNAS LÄN</t>
        </is>
      </c>
      <c r="E4981" t="inlineStr">
        <is>
          <t>LEKSAND</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61269-2022</t>
        </is>
      </c>
      <c r="B4982" s="1" t="n">
        <v>44909</v>
      </c>
      <c r="C4982" s="1" t="n">
        <v>45210</v>
      </c>
      <c r="D4982" t="inlineStr">
        <is>
          <t>DALARNAS LÄN</t>
        </is>
      </c>
      <c r="E4982" t="inlineStr">
        <is>
          <t>LEKSAND</t>
        </is>
      </c>
      <c r="G4982" t="n">
        <v>4.2</v>
      </c>
      <c r="H4982" t="n">
        <v>0</v>
      </c>
      <c r="I4982" t="n">
        <v>0</v>
      </c>
      <c r="J4982" t="n">
        <v>0</v>
      </c>
      <c r="K4982" t="n">
        <v>0</v>
      </c>
      <c r="L4982" t="n">
        <v>0</v>
      </c>
      <c r="M4982" t="n">
        <v>0</v>
      </c>
      <c r="N4982" t="n">
        <v>0</v>
      </c>
      <c r="O4982" t="n">
        <v>0</v>
      </c>
      <c r="P4982" t="n">
        <v>0</v>
      </c>
      <c r="Q4982" t="n">
        <v>0</v>
      </c>
      <c r="R4982" s="2" t="inlineStr"/>
    </row>
    <row r="4983" ht="15" customHeight="1">
      <c r="A4983" t="inlineStr">
        <is>
          <t>A 60129-2022</t>
        </is>
      </c>
      <c r="B4983" s="1" t="n">
        <v>44909</v>
      </c>
      <c r="C4983" s="1" t="n">
        <v>45210</v>
      </c>
      <c r="D4983" t="inlineStr">
        <is>
          <t>DALARNAS LÄN</t>
        </is>
      </c>
      <c r="E4983" t="inlineStr">
        <is>
          <t>RÄTTVIK</t>
        </is>
      </c>
      <c r="F4983" t="inlineStr">
        <is>
          <t>Sveaskog</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59944-2022</t>
        </is>
      </c>
      <c r="B4984" s="1" t="n">
        <v>44909</v>
      </c>
      <c r="C4984" s="1" t="n">
        <v>45210</v>
      </c>
      <c r="D4984" t="inlineStr">
        <is>
          <t>DALARNAS LÄN</t>
        </is>
      </c>
      <c r="E4984" t="inlineStr">
        <is>
          <t>ORSA</t>
        </is>
      </c>
      <c r="F4984" t="inlineStr">
        <is>
          <t>Allmännings- och besparingsskogar</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60088-2022</t>
        </is>
      </c>
      <c r="B4985" s="1" t="n">
        <v>44909</v>
      </c>
      <c r="C4985" s="1" t="n">
        <v>45210</v>
      </c>
      <c r="D4985" t="inlineStr">
        <is>
          <t>DALARNAS LÄN</t>
        </is>
      </c>
      <c r="E4985" t="inlineStr">
        <is>
          <t>FALUN</t>
        </is>
      </c>
      <c r="G4985" t="n">
        <v>3.3</v>
      </c>
      <c r="H4985" t="n">
        <v>0</v>
      </c>
      <c r="I4985" t="n">
        <v>0</v>
      </c>
      <c r="J4985" t="n">
        <v>0</v>
      </c>
      <c r="K4985" t="n">
        <v>0</v>
      </c>
      <c r="L4985" t="n">
        <v>0</v>
      </c>
      <c r="M4985" t="n">
        <v>0</v>
      </c>
      <c r="N4985" t="n">
        <v>0</v>
      </c>
      <c r="O4985" t="n">
        <v>0</v>
      </c>
      <c r="P4985" t="n">
        <v>0</v>
      </c>
      <c r="Q4985" t="n">
        <v>0</v>
      </c>
      <c r="R4985" s="2" t="inlineStr"/>
    </row>
    <row r="4986" ht="15" customHeight="1">
      <c r="A4986" t="inlineStr">
        <is>
          <t>A 60113-2022</t>
        </is>
      </c>
      <c r="B4986" s="1" t="n">
        <v>44909</v>
      </c>
      <c r="C4986" s="1" t="n">
        <v>45210</v>
      </c>
      <c r="D4986" t="inlineStr">
        <is>
          <t>DALARNAS LÄN</t>
        </is>
      </c>
      <c r="E4986" t="inlineStr">
        <is>
          <t>LEKSAND</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61260-2022</t>
        </is>
      </c>
      <c r="B4987" s="1" t="n">
        <v>44909</v>
      </c>
      <c r="C4987" s="1" t="n">
        <v>45210</v>
      </c>
      <c r="D4987" t="inlineStr">
        <is>
          <t>DALARNAS LÄN</t>
        </is>
      </c>
      <c r="E4987" t="inlineStr">
        <is>
          <t>SMEDJEBACKEN</t>
        </is>
      </c>
      <c r="G4987" t="n">
        <v>3.2</v>
      </c>
      <c r="H4987" t="n">
        <v>0</v>
      </c>
      <c r="I4987" t="n">
        <v>0</v>
      </c>
      <c r="J4987" t="n">
        <v>0</v>
      </c>
      <c r="K4987" t="n">
        <v>0</v>
      </c>
      <c r="L4987" t="n">
        <v>0</v>
      </c>
      <c r="M4987" t="n">
        <v>0</v>
      </c>
      <c r="N4987" t="n">
        <v>0</v>
      </c>
      <c r="O4987" t="n">
        <v>0</v>
      </c>
      <c r="P4987" t="n">
        <v>0</v>
      </c>
      <c r="Q4987" t="n">
        <v>0</v>
      </c>
      <c r="R4987" s="2" t="inlineStr"/>
    </row>
    <row r="4988" ht="15" customHeight="1">
      <c r="A4988" t="inlineStr">
        <is>
          <t>A 60126-2022</t>
        </is>
      </c>
      <c r="B4988" s="1" t="n">
        <v>44909</v>
      </c>
      <c r="C4988" s="1" t="n">
        <v>45210</v>
      </c>
      <c r="D4988" t="inlineStr">
        <is>
          <t>DALARNAS LÄN</t>
        </is>
      </c>
      <c r="E4988" t="inlineStr">
        <is>
          <t>RÄTTVIK</t>
        </is>
      </c>
      <c r="F4988" t="inlineStr">
        <is>
          <t>Sveaskog</t>
        </is>
      </c>
      <c r="G4988" t="n">
        <v>1</v>
      </c>
      <c r="H4988" t="n">
        <v>0</v>
      </c>
      <c r="I4988" t="n">
        <v>0</v>
      </c>
      <c r="J4988" t="n">
        <v>0</v>
      </c>
      <c r="K4988" t="n">
        <v>0</v>
      </c>
      <c r="L4988" t="n">
        <v>0</v>
      </c>
      <c r="M4988" t="n">
        <v>0</v>
      </c>
      <c r="N4988" t="n">
        <v>0</v>
      </c>
      <c r="O4988" t="n">
        <v>0</v>
      </c>
      <c r="P4988" t="n">
        <v>0</v>
      </c>
      <c r="Q4988" t="n">
        <v>0</v>
      </c>
      <c r="R4988" s="2" t="inlineStr"/>
      <c r="U4988">
        <f>HYPERLINK("https://klasma.github.io/Logging_2031/knärot/A 60126-2022.png", "A 60126-2022")</f>
        <v/>
      </c>
      <c r="V4988">
        <f>HYPERLINK("https://klasma.github.io/Logging_2031/klagomål/A 60126-2022.docx", "A 60126-2022")</f>
        <v/>
      </c>
      <c r="W4988">
        <f>HYPERLINK("https://klasma.github.io/Logging_2031/klagomålsmail/A 60126-2022.docx", "A 60126-2022")</f>
        <v/>
      </c>
      <c r="X4988">
        <f>HYPERLINK("https://klasma.github.io/Logging_2031/tillsyn/A 60126-2022.docx", "A 60126-2022")</f>
        <v/>
      </c>
      <c r="Y4988">
        <f>HYPERLINK("https://klasma.github.io/Logging_2031/tillsynsmail/A 60126-2022.docx", "A 60126-2022")</f>
        <v/>
      </c>
    </row>
    <row r="4989" ht="15" customHeight="1">
      <c r="A4989" t="inlineStr">
        <is>
          <t>A 61466-2022</t>
        </is>
      </c>
      <c r="B4989" s="1" t="n">
        <v>44910</v>
      </c>
      <c r="C4989" s="1" t="n">
        <v>45210</v>
      </c>
      <c r="D4989" t="inlineStr">
        <is>
          <t>DALARNAS LÄN</t>
        </is>
      </c>
      <c r="E4989" t="inlineStr">
        <is>
          <t>ÄLVDALEN</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60306-2022</t>
        </is>
      </c>
      <c r="B4990" s="1" t="n">
        <v>44910</v>
      </c>
      <c r="C4990" s="1" t="n">
        <v>45210</v>
      </c>
      <c r="D4990" t="inlineStr">
        <is>
          <t>DALARNAS LÄN</t>
        </is>
      </c>
      <c r="E4990" t="inlineStr">
        <is>
          <t>FALUN</t>
        </is>
      </c>
      <c r="G4990" t="n">
        <v>18.2</v>
      </c>
      <c r="H4990" t="n">
        <v>0</v>
      </c>
      <c r="I4990" t="n">
        <v>0</v>
      </c>
      <c r="J4990" t="n">
        <v>0</v>
      </c>
      <c r="K4990" t="n">
        <v>0</v>
      </c>
      <c r="L4990" t="n">
        <v>0</v>
      </c>
      <c r="M4990" t="n">
        <v>0</v>
      </c>
      <c r="N4990" t="n">
        <v>0</v>
      </c>
      <c r="O4990" t="n">
        <v>0</v>
      </c>
      <c r="P4990" t="n">
        <v>0</v>
      </c>
      <c r="Q4990" t="n">
        <v>0</v>
      </c>
      <c r="R4990" s="2" t="inlineStr"/>
    </row>
    <row r="4991" ht="15" customHeight="1">
      <c r="A4991" t="inlineStr">
        <is>
          <t>A 61450-2022</t>
        </is>
      </c>
      <c r="B4991" s="1" t="n">
        <v>44910</v>
      </c>
      <c r="C4991" s="1" t="n">
        <v>45210</v>
      </c>
      <c r="D4991" t="inlineStr">
        <is>
          <t>DALARNAS LÄN</t>
        </is>
      </c>
      <c r="E4991" t="inlineStr">
        <is>
          <t>ÄLVDALEN</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60625-2022</t>
        </is>
      </c>
      <c r="B4992" s="1" t="n">
        <v>44911</v>
      </c>
      <c r="C4992" s="1" t="n">
        <v>45210</v>
      </c>
      <c r="D4992" t="inlineStr">
        <is>
          <t>DALARNAS LÄN</t>
        </is>
      </c>
      <c r="E4992" t="inlineStr">
        <is>
          <t>BORLÄNGE</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60647-2022</t>
        </is>
      </c>
      <c r="B4993" s="1" t="n">
        <v>44911</v>
      </c>
      <c r="C4993" s="1" t="n">
        <v>45210</v>
      </c>
      <c r="D4993" t="inlineStr">
        <is>
          <t>DALARNAS LÄN</t>
        </is>
      </c>
      <c r="E4993" t="inlineStr">
        <is>
          <t>MORA</t>
        </is>
      </c>
      <c r="G4993" t="n">
        <v>4.8</v>
      </c>
      <c r="H4993" t="n">
        <v>0</v>
      </c>
      <c r="I4993" t="n">
        <v>0</v>
      </c>
      <c r="J4993" t="n">
        <v>0</v>
      </c>
      <c r="K4993" t="n">
        <v>0</v>
      </c>
      <c r="L4993" t="n">
        <v>0</v>
      </c>
      <c r="M4993" t="n">
        <v>0</v>
      </c>
      <c r="N4993" t="n">
        <v>0</v>
      </c>
      <c r="O4993" t="n">
        <v>0</v>
      </c>
      <c r="P4993" t="n">
        <v>0</v>
      </c>
      <c r="Q4993" t="n">
        <v>0</v>
      </c>
      <c r="R4993" s="2" t="inlineStr"/>
    </row>
    <row r="4994" ht="15" customHeight="1">
      <c r="A4994" t="inlineStr">
        <is>
          <t>A 60447-2022</t>
        </is>
      </c>
      <c r="B4994" s="1" t="n">
        <v>44911</v>
      </c>
      <c r="C4994" s="1" t="n">
        <v>45210</v>
      </c>
      <c r="D4994" t="inlineStr">
        <is>
          <t>DALARNAS LÄN</t>
        </is>
      </c>
      <c r="E4994" t="inlineStr">
        <is>
          <t>ÄLVDALEN</t>
        </is>
      </c>
      <c r="F4994" t="inlineStr">
        <is>
          <t>Allmännings- och besparingsskogar</t>
        </is>
      </c>
      <c r="G4994" t="n">
        <v>11.4</v>
      </c>
      <c r="H4994" t="n">
        <v>0</v>
      </c>
      <c r="I4994" t="n">
        <v>0</v>
      </c>
      <c r="J4994" t="n">
        <v>0</v>
      </c>
      <c r="K4994" t="n">
        <v>0</v>
      </c>
      <c r="L4994" t="n">
        <v>0</v>
      </c>
      <c r="M4994" t="n">
        <v>0</v>
      </c>
      <c r="N4994" t="n">
        <v>0</v>
      </c>
      <c r="O4994" t="n">
        <v>0</v>
      </c>
      <c r="P4994" t="n">
        <v>0</v>
      </c>
      <c r="Q4994" t="n">
        <v>0</v>
      </c>
      <c r="R4994" s="2" t="inlineStr"/>
    </row>
    <row r="4995" ht="15" customHeight="1">
      <c r="A4995" t="inlineStr">
        <is>
          <t>A 60556-2022</t>
        </is>
      </c>
      <c r="B4995" s="1" t="n">
        <v>44911</v>
      </c>
      <c r="C4995" s="1" t="n">
        <v>45210</v>
      </c>
      <c r="D4995" t="inlineStr">
        <is>
          <t>DALARNAS LÄN</t>
        </is>
      </c>
      <c r="E4995" t="inlineStr">
        <is>
          <t>RÄTTVIK</t>
        </is>
      </c>
      <c r="G4995" t="n">
        <v>7.4</v>
      </c>
      <c r="H4995" t="n">
        <v>0</v>
      </c>
      <c r="I4995" t="n">
        <v>0</v>
      </c>
      <c r="J4995" t="n">
        <v>0</v>
      </c>
      <c r="K4995" t="n">
        <v>0</v>
      </c>
      <c r="L4995" t="n">
        <v>0</v>
      </c>
      <c r="M4995" t="n">
        <v>0</v>
      </c>
      <c r="N4995" t="n">
        <v>0</v>
      </c>
      <c r="O4995" t="n">
        <v>0</v>
      </c>
      <c r="P4995" t="n">
        <v>0</v>
      </c>
      <c r="Q4995" t="n">
        <v>0</v>
      </c>
      <c r="R4995" s="2" t="inlineStr"/>
    </row>
    <row r="4996" ht="15" customHeight="1">
      <c r="A4996" t="inlineStr">
        <is>
          <t>A 60619-2022</t>
        </is>
      </c>
      <c r="B4996" s="1" t="n">
        <v>44911</v>
      </c>
      <c r="C4996" s="1" t="n">
        <v>45210</v>
      </c>
      <c r="D4996" t="inlineStr">
        <is>
          <t>DALARNAS LÄN</t>
        </is>
      </c>
      <c r="E4996" t="inlineStr">
        <is>
          <t>RÄTTVIK</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60554-2022</t>
        </is>
      </c>
      <c r="B4997" s="1" t="n">
        <v>44911</v>
      </c>
      <c r="C4997" s="1" t="n">
        <v>45210</v>
      </c>
      <c r="D4997" t="inlineStr">
        <is>
          <t>DALARNAS LÄN</t>
        </is>
      </c>
      <c r="E4997" t="inlineStr">
        <is>
          <t>RÄTTVIK</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60455-2022</t>
        </is>
      </c>
      <c r="B4998" s="1" t="n">
        <v>44911</v>
      </c>
      <c r="C4998" s="1" t="n">
        <v>45210</v>
      </c>
      <c r="D4998" t="inlineStr">
        <is>
          <t>DALARNAS LÄN</t>
        </is>
      </c>
      <c r="E4998" t="inlineStr">
        <is>
          <t>RÄTTVIK</t>
        </is>
      </c>
      <c r="G4998" t="n">
        <v>4.7</v>
      </c>
      <c r="H4998" t="n">
        <v>0</v>
      </c>
      <c r="I4998" t="n">
        <v>0</v>
      </c>
      <c r="J4998" t="n">
        <v>0</v>
      </c>
      <c r="K4998" t="n">
        <v>0</v>
      </c>
      <c r="L4998" t="n">
        <v>0</v>
      </c>
      <c r="M4998" t="n">
        <v>0</v>
      </c>
      <c r="N4998" t="n">
        <v>0</v>
      </c>
      <c r="O4998" t="n">
        <v>0</v>
      </c>
      <c r="P4998" t="n">
        <v>0</v>
      </c>
      <c r="Q4998" t="n">
        <v>0</v>
      </c>
      <c r="R4998" s="2" t="inlineStr"/>
    </row>
    <row r="4999" ht="15" customHeight="1">
      <c r="A4999" t="inlineStr">
        <is>
          <t>A 60550-2022</t>
        </is>
      </c>
      <c r="B4999" s="1" t="n">
        <v>44911</v>
      </c>
      <c r="C4999" s="1" t="n">
        <v>45210</v>
      </c>
      <c r="D4999" t="inlineStr">
        <is>
          <t>DALARNAS LÄN</t>
        </is>
      </c>
      <c r="E4999" t="inlineStr">
        <is>
          <t>LEKSAND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60572-2022</t>
        </is>
      </c>
      <c r="B5000" s="1" t="n">
        <v>44911</v>
      </c>
      <c r="C5000" s="1" t="n">
        <v>45210</v>
      </c>
      <c r="D5000" t="inlineStr">
        <is>
          <t>DALARNAS LÄN</t>
        </is>
      </c>
      <c r="E5000" t="inlineStr">
        <is>
          <t>FALUN</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60793-2022</t>
        </is>
      </c>
      <c r="B5001" s="1" t="n">
        <v>44911</v>
      </c>
      <c r="C5001" s="1" t="n">
        <v>45210</v>
      </c>
      <c r="D5001" t="inlineStr">
        <is>
          <t>DALARNAS LÄN</t>
        </is>
      </c>
      <c r="E5001" t="inlineStr">
        <is>
          <t>ÄLVDALEN</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60715-2022</t>
        </is>
      </c>
      <c r="B5002" s="1" t="n">
        <v>44912</v>
      </c>
      <c r="C5002" s="1" t="n">
        <v>45210</v>
      </c>
      <c r="D5002" t="inlineStr">
        <is>
          <t>DALARNAS LÄN</t>
        </is>
      </c>
      <c r="E5002" t="inlineStr">
        <is>
          <t>LEKSAND</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61996-2022</t>
        </is>
      </c>
      <c r="B5003" s="1" t="n">
        <v>44914</v>
      </c>
      <c r="C5003" s="1" t="n">
        <v>45210</v>
      </c>
      <c r="D5003" t="inlineStr">
        <is>
          <t>DALARNAS LÄN</t>
        </is>
      </c>
      <c r="E5003" t="inlineStr">
        <is>
          <t>RÄTTVIK</t>
        </is>
      </c>
      <c r="G5003" t="n">
        <v>2.5</v>
      </c>
      <c r="H5003" t="n">
        <v>0</v>
      </c>
      <c r="I5003" t="n">
        <v>0</v>
      </c>
      <c r="J5003" t="n">
        <v>0</v>
      </c>
      <c r="K5003" t="n">
        <v>0</v>
      </c>
      <c r="L5003" t="n">
        <v>0</v>
      </c>
      <c r="M5003" t="n">
        <v>0</v>
      </c>
      <c r="N5003" t="n">
        <v>0</v>
      </c>
      <c r="O5003" t="n">
        <v>0</v>
      </c>
      <c r="P5003" t="n">
        <v>0</v>
      </c>
      <c r="Q5003" t="n">
        <v>0</v>
      </c>
      <c r="R5003" s="2" t="inlineStr"/>
    </row>
    <row r="5004" ht="15" customHeight="1">
      <c r="A5004" t="inlineStr">
        <is>
          <t>A 62143-2022</t>
        </is>
      </c>
      <c r="B5004" s="1" t="n">
        <v>44914</v>
      </c>
      <c r="C5004" s="1" t="n">
        <v>45210</v>
      </c>
      <c r="D5004" t="inlineStr">
        <is>
          <t>DALARNAS LÄN</t>
        </is>
      </c>
      <c r="E5004" t="inlineStr">
        <is>
          <t>VANSBRO</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60764-2022</t>
        </is>
      </c>
      <c r="B5005" s="1" t="n">
        <v>44914</v>
      </c>
      <c r="C5005" s="1" t="n">
        <v>45210</v>
      </c>
      <c r="D5005" t="inlineStr">
        <is>
          <t>DALARNAS LÄN</t>
        </is>
      </c>
      <c r="E5005" t="inlineStr">
        <is>
          <t>SMEDJEBACKEN</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60814-2022</t>
        </is>
      </c>
      <c r="B5006" s="1" t="n">
        <v>44914</v>
      </c>
      <c r="C5006" s="1" t="n">
        <v>45210</v>
      </c>
      <c r="D5006" t="inlineStr">
        <is>
          <t>DALARNAS LÄN</t>
        </is>
      </c>
      <c r="E5006" t="inlineStr">
        <is>
          <t>SMEDJEBACKEN</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60832-2022</t>
        </is>
      </c>
      <c r="B5007" s="1" t="n">
        <v>44914</v>
      </c>
      <c r="C5007" s="1" t="n">
        <v>45210</v>
      </c>
      <c r="D5007" t="inlineStr">
        <is>
          <t>DALARNAS LÄN</t>
        </is>
      </c>
      <c r="E5007" t="inlineStr">
        <is>
          <t>RÄTTVIK</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60762-2022</t>
        </is>
      </c>
      <c r="B5008" s="1" t="n">
        <v>44914</v>
      </c>
      <c r="C5008" s="1" t="n">
        <v>45210</v>
      </c>
      <c r="D5008" t="inlineStr">
        <is>
          <t>DALARNAS LÄN</t>
        </is>
      </c>
      <c r="E5008" t="inlineStr">
        <is>
          <t>SMEDJEBACKEN</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60803-2022</t>
        </is>
      </c>
      <c r="B5009" s="1" t="n">
        <v>44914</v>
      </c>
      <c r="C5009" s="1" t="n">
        <v>45210</v>
      </c>
      <c r="D5009" t="inlineStr">
        <is>
          <t>DALARNAS LÄN</t>
        </is>
      </c>
      <c r="E5009" t="inlineStr">
        <is>
          <t>ORSA</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61053-2022</t>
        </is>
      </c>
      <c r="B5010" s="1" t="n">
        <v>44915</v>
      </c>
      <c r="C5010" s="1" t="n">
        <v>45210</v>
      </c>
      <c r="D5010" t="inlineStr">
        <is>
          <t>DALARNAS LÄN</t>
        </is>
      </c>
      <c r="E5010" t="inlineStr">
        <is>
          <t>VANSBRO</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61264-2022</t>
        </is>
      </c>
      <c r="B5011" s="1" t="n">
        <v>44915</v>
      </c>
      <c r="C5011" s="1" t="n">
        <v>45210</v>
      </c>
      <c r="D5011" t="inlineStr">
        <is>
          <t>DALARNAS LÄN</t>
        </is>
      </c>
      <c r="E5011" t="inlineStr">
        <is>
          <t>ÄLVDALEN</t>
        </is>
      </c>
      <c r="F5011" t="inlineStr">
        <is>
          <t>Allmännings- och besparingsskogar</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61288-2022</t>
        </is>
      </c>
      <c r="B5012" s="1" t="n">
        <v>44915</v>
      </c>
      <c r="C5012" s="1" t="n">
        <v>45210</v>
      </c>
      <c r="D5012" t="inlineStr">
        <is>
          <t>DALARNAS LÄN</t>
        </is>
      </c>
      <c r="E5012" t="inlineStr">
        <is>
          <t>LEKSAND</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62314-2022</t>
        </is>
      </c>
      <c r="B5013" s="1" t="n">
        <v>44916</v>
      </c>
      <c r="C5013" s="1" t="n">
        <v>45210</v>
      </c>
      <c r="D5013" t="inlineStr">
        <is>
          <t>DALARNAS LÄN</t>
        </is>
      </c>
      <c r="E5013" t="inlineStr">
        <is>
          <t>ÄLVDALEN</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62354-2022</t>
        </is>
      </c>
      <c r="B5014" s="1" t="n">
        <v>44916</v>
      </c>
      <c r="C5014" s="1" t="n">
        <v>45210</v>
      </c>
      <c r="D5014" t="inlineStr">
        <is>
          <t>DALARNAS LÄN</t>
        </is>
      </c>
      <c r="E5014" t="inlineStr">
        <is>
          <t>RÄTTVIK</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61535-2022</t>
        </is>
      </c>
      <c r="B5015" s="1" t="n">
        <v>44916</v>
      </c>
      <c r="C5015" s="1" t="n">
        <v>45210</v>
      </c>
      <c r="D5015" t="inlineStr">
        <is>
          <t>DALARNAS LÄN</t>
        </is>
      </c>
      <c r="E5015" t="inlineStr">
        <is>
          <t>FALUN</t>
        </is>
      </c>
      <c r="G5015" t="n">
        <v>13.1</v>
      </c>
      <c r="H5015" t="n">
        <v>0</v>
      </c>
      <c r="I5015" t="n">
        <v>0</v>
      </c>
      <c r="J5015" t="n">
        <v>0</v>
      </c>
      <c r="K5015" t="n">
        <v>0</v>
      </c>
      <c r="L5015" t="n">
        <v>0</v>
      </c>
      <c r="M5015" t="n">
        <v>0</v>
      </c>
      <c r="N5015" t="n">
        <v>0</v>
      </c>
      <c r="O5015" t="n">
        <v>0</v>
      </c>
      <c r="P5015" t="n">
        <v>0</v>
      </c>
      <c r="Q5015" t="n">
        <v>0</v>
      </c>
      <c r="R5015" s="2" t="inlineStr"/>
    </row>
    <row r="5016" ht="15" customHeight="1">
      <c r="A5016" t="inlineStr">
        <is>
          <t>A 62350-2022</t>
        </is>
      </c>
      <c r="B5016" s="1" t="n">
        <v>44916</v>
      </c>
      <c r="C5016" s="1" t="n">
        <v>45210</v>
      </c>
      <c r="D5016" t="inlineStr">
        <is>
          <t>DALARNAS LÄN</t>
        </is>
      </c>
      <c r="E5016" t="inlineStr">
        <is>
          <t>RÄTTVIK</t>
        </is>
      </c>
      <c r="G5016" t="n">
        <v>7.6</v>
      </c>
      <c r="H5016" t="n">
        <v>0</v>
      </c>
      <c r="I5016" t="n">
        <v>0</v>
      </c>
      <c r="J5016" t="n">
        <v>0</v>
      </c>
      <c r="K5016" t="n">
        <v>0</v>
      </c>
      <c r="L5016" t="n">
        <v>0</v>
      </c>
      <c r="M5016" t="n">
        <v>0</v>
      </c>
      <c r="N5016" t="n">
        <v>0</v>
      </c>
      <c r="O5016" t="n">
        <v>0</v>
      </c>
      <c r="P5016" t="n">
        <v>0</v>
      </c>
      <c r="Q5016" t="n">
        <v>0</v>
      </c>
      <c r="R5016" s="2" t="inlineStr"/>
    </row>
    <row r="5017" ht="15" customHeight="1">
      <c r="A5017" t="inlineStr">
        <is>
          <t>A 61515-2022</t>
        </is>
      </c>
      <c r="B5017" s="1" t="n">
        <v>44916</v>
      </c>
      <c r="C5017" s="1" t="n">
        <v>45210</v>
      </c>
      <c r="D5017" t="inlineStr">
        <is>
          <t>DALARNAS LÄN</t>
        </is>
      </c>
      <c r="E5017" t="inlineStr">
        <is>
          <t>VANSBRO</t>
        </is>
      </c>
      <c r="F5017" t="inlineStr">
        <is>
          <t>Bergvik skog väst AB</t>
        </is>
      </c>
      <c r="G5017" t="n">
        <v>0.1</v>
      </c>
      <c r="H5017" t="n">
        <v>0</v>
      </c>
      <c r="I5017" t="n">
        <v>0</v>
      </c>
      <c r="J5017" t="n">
        <v>0</v>
      </c>
      <c r="K5017" t="n">
        <v>0</v>
      </c>
      <c r="L5017" t="n">
        <v>0</v>
      </c>
      <c r="M5017" t="n">
        <v>0</v>
      </c>
      <c r="N5017" t="n">
        <v>0</v>
      </c>
      <c r="O5017" t="n">
        <v>0</v>
      </c>
      <c r="P5017" t="n">
        <v>0</v>
      </c>
      <c r="Q5017" t="n">
        <v>0</v>
      </c>
      <c r="R5017" s="2" t="inlineStr"/>
    </row>
    <row r="5018" ht="15" customHeight="1">
      <c r="A5018" t="inlineStr">
        <is>
          <t>A 62315-2022</t>
        </is>
      </c>
      <c r="B5018" s="1" t="n">
        <v>44916</v>
      </c>
      <c r="C5018" s="1" t="n">
        <v>45210</v>
      </c>
      <c r="D5018" t="inlineStr">
        <is>
          <t>DALARNAS LÄN</t>
        </is>
      </c>
      <c r="E5018" t="inlineStr">
        <is>
          <t>ÄLVDALEN</t>
        </is>
      </c>
      <c r="G5018" t="n">
        <v>2.1</v>
      </c>
      <c r="H5018" t="n">
        <v>0</v>
      </c>
      <c r="I5018" t="n">
        <v>0</v>
      </c>
      <c r="J5018" t="n">
        <v>0</v>
      </c>
      <c r="K5018" t="n">
        <v>0</v>
      </c>
      <c r="L5018" t="n">
        <v>0</v>
      </c>
      <c r="M5018" t="n">
        <v>0</v>
      </c>
      <c r="N5018" t="n">
        <v>0</v>
      </c>
      <c r="O5018" t="n">
        <v>0</v>
      </c>
      <c r="P5018" t="n">
        <v>0</v>
      </c>
      <c r="Q5018" t="n">
        <v>0</v>
      </c>
      <c r="R5018" s="2" t="inlineStr"/>
    </row>
    <row r="5019" ht="15" customHeight="1">
      <c r="A5019" t="inlineStr">
        <is>
          <t>A 61418-2022</t>
        </is>
      </c>
      <c r="B5019" s="1" t="n">
        <v>44916</v>
      </c>
      <c r="C5019" s="1" t="n">
        <v>45210</v>
      </c>
      <c r="D5019" t="inlineStr">
        <is>
          <t>DALARNAS LÄN</t>
        </is>
      </c>
      <c r="E5019" t="inlineStr">
        <is>
          <t>VANSBRO</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62463-2022</t>
        </is>
      </c>
      <c r="B5020" s="1" t="n">
        <v>44916</v>
      </c>
      <c r="C5020" s="1" t="n">
        <v>45210</v>
      </c>
      <c r="D5020" t="inlineStr">
        <is>
          <t>DALARNAS LÄN</t>
        </is>
      </c>
      <c r="E5020" t="inlineStr">
        <is>
          <t>GAGNEF</t>
        </is>
      </c>
      <c r="G5020" t="n">
        <v>3.5</v>
      </c>
      <c r="H5020" t="n">
        <v>0</v>
      </c>
      <c r="I5020" t="n">
        <v>0</v>
      </c>
      <c r="J5020" t="n">
        <v>0</v>
      </c>
      <c r="K5020" t="n">
        <v>0</v>
      </c>
      <c r="L5020" t="n">
        <v>0</v>
      </c>
      <c r="M5020" t="n">
        <v>0</v>
      </c>
      <c r="N5020" t="n">
        <v>0</v>
      </c>
      <c r="O5020" t="n">
        <v>0</v>
      </c>
      <c r="P5020" t="n">
        <v>0</v>
      </c>
      <c r="Q5020" t="n">
        <v>0</v>
      </c>
      <c r="R5020" s="2" t="inlineStr"/>
    </row>
    <row r="5021" ht="15" customHeight="1">
      <c r="A5021" t="inlineStr">
        <is>
          <t>A 61888-2022</t>
        </is>
      </c>
      <c r="B5021" s="1" t="n">
        <v>44917</v>
      </c>
      <c r="C5021" s="1" t="n">
        <v>45210</v>
      </c>
      <c r="D5021" t="inlineStr">
        <is>
          <t>DALARNAS LÄN</t>
        </is>
      </c>
      <c r="E5021" t="inlineStr">
        <is>
          <t>ÄLVDALEN</t>
        </is>
      </c>
      <c r="F5021" t="inlineStr">
        <is>
          <t>Allmännings- och besparingsskogar</t>
        </is>
      </c>
      <c r="G5021" t="n">
        <v>17.7</v>
      </c>
      <c r="H5021" t="n">
        <v>0</v>
      </c>
      <c r="I5021" t="n">
        <v>0</v>
      </c>
      <c r="J5021" t="n">
        <v>0</v>
      </c>
      <c r="K5021" t="n">
        <v>0</v>
      </c>
      <c r="L5021" t="n">
        <v>0</v>
      </c>
      <c r="M5021" t="n">
        <v>0</v>
      </c>
      <c r="N5021" t="n">
        <v>0</v>
      </c>
      <c r="O5021" t="n">
        <v>0</v>
      </c>
      <c r="P5021" t="n">
        <v>0</v>
      </c>
      <c r="Q5021" t="n">
        <v>0</v>
      </c>
      <c r="R5021" s="2" t="inlineStr"/>
    </row>
    <row r="5022" ht="15" customHeight="1">
      <c r="A5022" t="inlineStr">
        <is>
          <t>A 61787-2022</t>
        </is>
      </c>
      <c r="B5022" s="1" t="n">
        <v>44917</v>
      </c>
      <c r="C5022" s="1" t="n">
        <v>45210</v>
      </c>
      <c r="D5022" t="inlineStr">
        <is>
          <t>DALARNAS LÄN</t>
        </is>
      </c>
      <c r="E5022" t="inlineStr">
        <is>
          <t>LEKSAND</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61849-2022</t>
        </is>
      </c>
      <c r="B5023" s="1" t="n">
        <v>44917</v>
      </c>
      <c r="C5023" s="1" t="n">
        <v>45210</v>
      </c>
      <c r="D5023" t="inlineStr">
        <is>
          <t>DALARNAS LÄN</t>
        </is>
      </c>
      <c r="E5023" t="inlineStr">
        <is>
          <t>HEDEMORA</t>
        </is>
      </c>
      <c r="G5023" t="n">
        <v>1.9</v>
      </c>
      <c r="H5023" t="n">
        <v>0</v>
      </c>
      <c r="I5023" t="n">
        <v>0</v>
      </c>
      <c r="J5023" t="n">
        <v>0</v>
      </c>
      <c r="K5023" t="n">
        <v>0</v>
      </c>
      <c r="L5023" t="n">
        <v>0</v>
      </c>
      <c r="M5023" t="n">
        <v>0</v>
      </c>
      <c r="N5023" t="n">
        <v>0</v>
      </c>
      <c r="O5023" t="n">
        <v>0</v>
      </c>
      <c r="P5023" t="n">
        <v>0</v>
      </c>
      <c r="Q5023" t="n">
        <v>0</v>
      </c>
      <c r="R5023" s="2" t="inlineStr"/>
    </row>
    <row r="5024" ht="15" customHeight="1">
      <c r="A5024" t="inlineStr">
        <is>
          <t>A 61794-2022</t>
        </is>
      </c>
      <c r="B5024" s="1" t="n">
        <v>44917</v>
      </c>
      <c r="C5024" s="1" t="n">
        <v>45210</v>
      </c>
      <c r="D5024" t="inlineStr">
        <is>
          <t>DALARNAS LÄN</t>
        </is>
      </c>
      <c r="E5024" t="inlineStr">
        <is>
          <t>MORA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151-2023</t>
        </is>
      </c>
      <c r="B5025" s="1" t="n">
        <v>44918</v>
      </c>
      <c r="C5025" s="1" t="n">
        <v>45210</v>
      </c>
      <c r="D5025" t="inlineStr">
        <is>
          <t>DALARNAS LÄN</t>
        </is>
      </c>
      <c r="E5025" t="inlineStr">
        <is>
          <t>LEKSAND</t>
        </is>
      </c>
      <c r="F5025" t="inlineStr">
        <is>
          <t>Kommuner</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167-2023</t>
        </is>
      </c>
      <c r="B5026" s="1" t="n">
        <v>44918</v>
      </c>
      <c r="C5026" s="1" t="n">
        <v>45210</v>
      </c>
      <c r="D5026" t="inlineStr">
        <is>
          <t>DALARNAS LÄN</t>
        </is>
      </c>
      <c r="E5026" t="inlineStr">
        <is>
          <t>LEKSAND</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61992-2022</t>
        </is>
      </c>
      <c r="B5027" s="1" t="n">
        <v>44918</v>
      </c>
      <c r="C5027" s="1" t="n">
        <v>45210</v>
      </c>
      <c r="D5027" t="inlineStr">
        <is>
          <t>DALARNAS LÄN</t>
        </is>
      </c>
      <c r="E5027" t="inlineStr">
        <is>
          <t>GAGNEF</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164-2023</t>
        </is>
      </c>
      <c r="B5028" s="1" t="n">
        <v>44918</v>
      </c>
      <c r="C5028" s="1" t="n">
        <v>45210</v>
      </c>
      <c r="D5028" t="inlineStr">
        <is>
          <t>DALARNAS LÄN</t>
        </is>
      </c>
      <c r="E5028" t="inlineStr">
        <is>
          <t>LEKSAND</t>
        </is>
      </c>
      <c r="G5028" t="n">
        <v>0.7</v>
      </c>
      <c r="H5028" t="n">
        <v>0</v>
      </c>
      <c r="I5028" t="n">
        <v>0</v>
      </c>
      <c r="J5028" t="n">
        <v>0</v>
      </c>
      <c r="K5028" t="n">
        <v>0</v>
      </c>
      <c r="L5028" t="n">
        <v>0</v>
      </c>
      <c r="M5028" t="n">
        <v>0</v>
      </c>
      <c r="N5028" t="n">
        <v>0</v>
      </c>
      <c r="O5028" t="n">
        <v>0</v>
      </c>
      <c r="P5028" t="n">
        <v>0</v>
      </c>
      <c r="Q5028" t="n">
        <v>0</v>
      </c>
      <c r="R5028" s="2" t="inlineStr"/>
    </row>
    <row r="5029" ht="15" customHeight="1">
      <c r="A5029" t="inlineStr">
        <is>
          <t>A 228-2023</t>
        </is>
      </c>
      <c r="B5029" s="1" t="n">
        <v>44922</v>
      </c>
      <c r="C5029" s="1" t="n">
        <v>45210</v>
      </c>
      <c r="D5029" t="inlineStr">
        <is>
          <t>DALARNAS LÄN</t>
        </is>
      </c>
      <c r="E5029" t="inlineStr">
        <is>
          <t>VANSBRO</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295-2023</t>
        </is>
      </c>
      <c r="B5030" s="1" t="n">
        <v>44922</v>
      </c>
      <c r="C5030" s="1" t="n">
        <v>45210</v>
      </c>
      <c r="D5030" t="inlineStr">
        <is>
          <t>DALARNAS LÄN</t>
        </is>
      </c>
      <c r="E5030" t="inlineStr">
        <is>
          <t>RÄTTVIK</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62188-2022</t>
        </is>
      </c>
      <c r="B5031" s="1" t="n">
        <v>44922</v>
      </c>
      <c r="C5031" s="1" t="n">
        <v>45210</v>
      </c>
      <c r="D5031" t="inlineStr">
        <is>
          <t>DALARNAS LÄN</t>
        </is>
      </c>
      <c r="E5031" t="inlineStr">
        <is>
          <t>MORA</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323-2023</t>
        </is>
      </c>
      <c r="B5032" s="1" t="n">
        <v>44922</v>
      </c>
      <c r="C5032" s="1" t="n">
        <v>45210</v>
      </c>
      <c r="D5032" t="inlineStr">
        <is>
          <t>DALARNAS LÄN</t>
        </is>
      </c>
      <c r="E5032" t="inlineStr">
        <is>
          <t>VANSBRO</t>
        </is>
      </c>
      <c r="G5032" t="n">
        <v>17.9</v>
      </c>
      <c r="H5032" t="n">
        <v>0</v>
      </c>
      <c r="I5032" t="n">
        <v>0</v>
      </c>
      <c r="J5032" t="n">
        <v>0</v>
      </c>
      <c r="K5032" t="n">
        <v>0</v>
      </c>
      <c r="L5032" t="n">
        <v>0</v>
      </c>
      <c r="M5032" t="n">
        <v>0</v>
      </c>
      <c r="N5032" t="n">
        <v>0</v>
      </c>
      <c r="O5032" t="n">
        <v>0</v>
      </c>
      <c r="P5032" t="n">
        <v>0</v>
      </c>
      <c r="Q5032" t="n">
        <v>0</v>
      </c>
      <c r="R5032" s="2" t="inlineStr"/>
    </row>
    <row r="5033" ht="15" customHeight="1">
      <c r="A5033" t="inlineStr">
        <is>
          <t>A 173-2023</t>
        </is>
      </c>
      <c r="B5033" s="1" t="n">
        <v>44922</v>
      </c>
      <c r="C5033" s="1" t="n">
        <v>45210</v>
      </c>
      <c r="D5033" t="inlineStr">
        <is>
          <t>DALARNAS LÄN</t>
        </is>
      </c>
      <c r="E5033" t="inlineStr">
        <is>
          <t>AVESTA</t>
        </is>
      </c>
      <c r="G5033" t="n">
        <v>4.2</v>
      </c>
      <c r="H5033" t="n">
        <v>0</v>
      </c>
      <c r="I5033" t="n">
        <v>0</v>
      </c>
      <c r="J5033" t="n">
        <v>0</v>
      </c>
      <c r="K5033" t="n">
        <v>0</v>
      </c>
      <c r="L5033" t="n">
        <v>0</v>
      </c>
      <c r="M5033" t="n">
        <v>0</v>
      </c>
      <c r="N5033" t="n">
        <v>0</v>
      </c>
      <c r="O5033" t="n">
        <v>0</v>
      </c>
      <c r="P5033" t="n">
        <v>0</v>
      </c>
      <c r="Q5033" t="n">
        <v>0</v>
      </c>
      <c r="R5033" s="2" t="inlineStr"/>
    </row>
    <row r="5034" ht="15" customHeight="1">
      <c r="A5034" t="inlineStr">
        <is>
          <t>A 62281-2022</t>
        </is>
      </c>
      <c r="B5034" s="1" t="n">
        <v>44923</v>
      </c>
      <c r="C5034" s="1" t="n">
        <v>45210</v>
      </c>
      <c r="D5034" t="inlineStr">
        <is>
          <t>DALARNAS LÄN</t>
        </is>
      </c>
      <c r="E5034" t="inlineStr">
        <is>
          <t>MALUNG-SÄLEN</t>
        </is>
      </c>
      <c r="G5034" t="n">
        <v>12.4</v>
      </c>
      <c r="H5034" t="n">
        <v>0</v>
      </c>
      <c r="I5034" t="n">
        <v>0</v>
      </c>
      <c r="J5034" t="n">
        <v>0</v>
      </c>
      <c r="K5034" t="n">
        <v>0</v>
      </c>
      <c r="L5034" t="n">
        <v>0</v>
      </c>
      <c r="M5034" t="n">
        <v>0</v>
      </c>
      <c r="N5034" t="n">
        <v>0</v>
      </c>
      <c r="O5034" t="n">
        <v>0</v>
      </c>
      <c r="P5034" t="n">
        <v>0</v>
      </c>
      <c r="Q5034" t="n">
        <v>0</v>
      </c>
      <c r="R5034" s="2" t="inlineStr"/>
    </row>
    <row r="5035" ht="15" customHeight="1">
      <c r="A5035" t="inlineStr">
        <is>
          <t>A 62371-2022</t>
        </is>
      </c>
      <c r="B5035" s="1" t="n">
        <v>44923</v>
      </c>
      <c r="C5035" s="1" t="n">
        <v>45210</v>
      </c>
      <c r="D5035" t="inlineStr">
        <is>
          <t>DALARNAS LÄN</t>
        </is>
      </c>
      <c r="E5035" t="inlineStr">
        <is>
          <t>MALUNG-SÄLEN</t>
        </is>
      </c>
      <c r="G5035" t="n">
        <v>9.199999999999999</v>
      </c>
      <c r="H5035" t="n">
        <v>0</v>
      </c>
      <c r="I5035" t="n">
        <v>0</v>
      </c>
      <c r="J5035" t="n">
        <v>0</v>
      </c>
      <c r="K5035" t="n">
        <v>0</v>
      </c>
      <c r="L5035" t="n">
        <v>0</v>
      </c>
      <c r="M5035" t="n">
        <v>0</v>
      </c>
      <c r="N5035" t="n">
        <v>0</v>
      </c>
      <c r="O5035" t="n">
        <v>0</v>
      </c>
      <c r="P5035" t="n">
        <v>0</v>
      </c>
      <c r="Q5035" t="n">
        <v>0</v>
      </c>
      <c r="R5035" s="2" t="inlineStr"/>
    </row>
    <row r="5036" ht="15" customHeight="1">
      <c r="A5036" t="inlineStr">
        <is>
          <t>A 62355-2022</t>
        </is>
      </c>
      <c r="B5036" s="1" t="n">
        <v>44923</v>
      </c>
      <c r="C5036" s="1" t="n">
        <v>45210</v>
      </c>
      <c r="D5036" t="inlineStr">
        <is>
          <t>DALARNAS LÄN</t>
        </is>
      </c>
      <c r="E5036" t="inlineStr">
        <is>
          <t>ÄLVDALEN</t>
        </is>
      </c>
      <c r="G5036" t="n">
        <v>4.3</v>
      </c>
      <c r="H5036" t="n">
        <v>0</v>
      </c>
      <c r="I5036" t="n">
        <v>0</v>
      </c>
      <c r="J5036" t="n">
        <v>0</v>
      </c>
      <c r="K5036" t="n">
        <v>0</v>
      </c>
      <c r="L5036" t="n">
        <v>0</v>
      </c>
      <c r="M5036" t="n">
        <v>0</v>
      </c>
      <c r="N5036" t="n">
        <v>0</v>
      </c>
      <c r="O5036" t="n">
        <v>0</v>
      </c>
      <c r="P5036" t="n">
        <v>0</v>
      </c>
      <c r="Q5036" t="n">
        <v>0</v>
      </c>
      <c r="R5036" s="2" t="inlineStr"/>
    </row>
    <row r="5037" ht="15" customHeight="1">
      <c r="A5037" t="inlineStr">
        <is>
          <t>A 62289-2022</t>
        </is>
      </c>
      <c r="B5037" s="1" t="n">
        <v>44923</v>
      </c>
      <c r="C5037" s="1" t="n">
        <v>45210</v>
      </c>
      <c r="D5037" t="inlineStr">
        <is>
          <t>DALARNAS LÄN</t>
        </is>
      </c>
      <c r="E5037" t="inlineStr">
        <is>
          <t>MALUNG-SÄLEN</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62369-2022</t>
        </is>
      </c>
      <c r="B5038" s="1" t="n">
        <v>44923</v>
      </c>
      <c r="C5038" s="1" t="n">
        <v>45210</v>
      </c>
      <c r="D5038" t="inlineStr">
        <is>
          <t>DALARNAS LÄN</t>
        </is>
      </c>
      <c r="E5038" t="inlineStr">
        <is>
          <t>MALUNG-SÄLEN</t>
        </is>
      </c>
      <c r="G5038" t="n">
        <v>7.1</v>
      </c>
      <c r="H5038" t="n">
        <v>0</v>
      </c>
      <c r="I5038" t="n">
        <v>0</v>
      </c>
      <c r="J5038" t="n">
        <v>0</v>
      </c>
      <c r="K5038" t="n">
        <v>0</v>
      </c>
      <c r="L5038" t="n">
        <v>0</v>
      </c>
      <c r="M5038" t="n">
        <v>0</v>
      </c>
      <c r="N5038" t="n">
        <v>0</v>
      </c>
      <c r="O5038" t="n">
        <v>0</v>
      </c>
      <c r="P5038" t="n">
        <v>0</v>
      </c>
      <c r="Q5038" t="n">
        <v>0</v>
      </c>
      <c r="R5038" s="2" t="inlineStr"/>
    </row>
    <row r="5039" ht="15" customHeight="1">
      <c r="A5039" t="inlineStr">
        <is>
          <t>A 431-2023</t>
        </is>
      </c>
      <c r="B5039" s="1" t="n">
        <v>44923</v>
      </c>
      <c r="C5039" s="1" t="n">
        <v>45210</v>
      </c>
      <c r="D5039" t="inlineStr">
        <is>
          <t>DALARNAS LÄN</t>
        </is>
      </c>
      <c r="E5039" t="inlineStr">
        <is>
          <t>ÄLVDALEN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62287-2022</t>
        </is>
      </c>
      <c r="B5040" s="1" t="n">
        <v>44923</v>
      </c>
      <c r="C5040" s="1" t="n">
        <v>45210</v>
      </c>
      <c r="D5040" t="inlineStr">
        <is>
          <t>DALARNAS LÄN</t>
        </is>
      </c>
      <c r="E5040" t="inlineStr">
        <is>
          <t>MALUNG-SÄLEN</t>
        </is>
      </c>
      <c r="G5040" t="n">
        <v>3</v>
      </c>
      <c r="H5040" t="n">
        <v>0</v>
      </c>
      <c r="I5040" t="n">
        <v>0</v>
      </c>
      <c r="J5040" t="n">
        <v>0</v>
      </c>
      <c r="K5040" t="n">
        <v>0</v>
      </c>
      <c r="L5040" t="n">
        <v>0</v>
      </c>
      <c r="M5040" t="n">
        <v>0</v>
      </c>
      <c r="N5040" t="n">
        <v>0</v>
      </c>
      <c r="O5040" t="n">
        <v>0</v>
      </c>
      <c r="P5040" t="n">
        <v>0</v>
      </c>
      <c r="Q5040" t="n">
        <v>0</v>
      </c>
      <c r="R5040" s="2" t="inlineStr"/>
    </row>
    <row r="5041" ht="15" customHeight="1">
      <c r="A5041" t="inlineStr">
        <is>
          <t>A 62512-2022</t>
        </is>
      </c>
      <c r="B5041" s="1" t="n">
        <v>44924</v>
      </c>
      <c r="C5041" s="1" t="n">
        <v>45210</v>
      </c>
      <c r="D5041" t="inlineStr">
        <is>
          <t>DALARNAS LÄN</t>
        </is>
      </c>
      <c r="E5041" t="inlineStr">
        <is>
          <t>ÄLVDALEN</t>
        </is>
      </c>
      <c r="F5041" t="inlineStr">
        <is>
          <t>Övriga statliga verk och myndigheter</t>
        </is>
      </c>
      <c r="G5041" t="n">
        <v>15.1</v>
      </c>
      <c r="H5041" t="n">
        <v>0</v>
      </c>
      <c r="I5041" t="n">
        <v>0</v>
      </c>
      <c r="J5041" t="n">
        <v>0</v>
      </c>
      <c r="K5041" t="n">
        <v>0</v>
      </c>
      <c r="L5041" t="n">
        <v>0</v>
      </c>
      <c r="M5041" t="n">
        <v>0</v>
      </c>
      <c r="N5041" t="n">
        <v>0</v>
      </c>
      <c r="O5041" t="n">
        <v>0</v>
      </c>
      <c r="P5041" t="n">
        <v>0</v>
      </c>
      <c r="Q5041" t="n">
        <v>0</v>
      </c>
      <c r="R5041" s="2" t="inlineStr"/>
    </row>
    <row r="5042" ht="15" customHeight="1">
      <c r="A5042" t="inlineStr">
        <is>
          <t>A 566-2023</t>
        </is>
      </c>
      <c r="B5042" s="1" t="n">
        <v>44925</v>
      </c>
      <c r="C5042" s="1" t="n">
        <v>45210</v>
      </c>
      <c r="D5042" t="inlineStr">
        <is>
          <t>DALARNAS LÄN</t>
        </is>
      </c>
      <c r="E5042" t="inlineStr">
        <is>
          <t>HEDEMORA</t>
        </is>
      </c>
      <c r="G5042" t="n">
        <v>13.7</v>
      </c>
      <c r="H5042" t="n">
        <v>0</v>
      </c>
      <c r="I5042" t="n">
        <v>0</v>
      </c>
      <c r="J5042" t="n">
        <v>0</v>
      </c>
      <c r="K5042" t="n">
        <v>0</v>
      </c>
      <c r="L5042" t="n">
        <v>0</v>
      </c>
      <c r="M5042" t="n">
        <v>0</v>
      </c>
      <c r="N5042" t="n">
        <v>0</v>
      </c>
      <c r="O5042" t="n">
        <v>0</v>
      </c>
      <c r="P5042" t="n">
        <v>0</v>
      </c>
      <c r="Q5042" t="n">
        <v>0</v>
      </c>
      <c r="R5042" s="2" t="inlineStr"/>
    </row>
    <row r="5043" ht="15" customHeight="1">
      <c r="A5043" t="inlineStr">
        <is>
          <t>A 62622-2022</t>
        </is>
      </c>
      <c r="B5043" s="1" t="n">
        <v>44925</v>
      </c>
      <c r="C5043" s="1" t="n">
        <v>45210</v>
      </c>
      <c r="D5043" t="inlineStr">
        <is>
          <t>DALARNAS LÄN</t>
        </is>
      </c>
      <c r="E5043" t="inlineStr">
        <is>
          <t>VANSBRO</t>
        </is>
      </c>
      <c r="F5043" t="inlineStr">
        <is>
          <t>Bergvik skog väst AB</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159-2023</t>
        </is>
      </c>
      <c r="B5044" s="1" t="n">
        <v>44928</v>
      </c>
      <c r="C5044" s="1" t="n">
        <v>45210</v>
      </c>
      <c r="D5044" t="inlineStr">
        <is>
          <t>DALARNAS LÄN</t>
        </is>
      </c>
      <c r="E5044" t="inlineStr">
        <is>
          <t>ORSA</t>
        </is>
      </c>
      <c r="F5044" t="inlineStr">
        <is>
          <t>Kyrkan</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117-2023</t>
        </is>
      </c>
      <c r="B5045" s="1" t="n">
        <v>44928</v>
      </c>
      <c r="C5045" s="1" t="n">
        <v>45210</v>
      </c>
      <c r="D5045" t="inlineStr">
        <is>
          <t>DALARNAS LÄN</t>
        </is>
      </c>
      <c r="E5045" t="inlineStr">
        <is>
          <t>SMEDJEBACKEN</t>
        </is>
      </c>
      <c r="F5045" t="inlineStr">
        <is>
          <t>Sveaskog</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160-2023</t>
        </is>
      </c>
      <c r="B5046" s="1" t="n">
        <v>44928</v>
      </c>
      <c r="C5046" s="1" t="n">
        <v>45210</v>
      </c>
      <c r="D5046" t="inlineStr">
        <is>
          <t>DALARNAS LÄN</t>
        </is>
      </c>
      <c r="E5046" t="inlineStr">
        <is>
          <t>ORSA</t>
        </is>
      </c>
      <c r="F5046" t="inlineStr">
        <is>
          <t>Kyrkan</t>
        </is>
      </c>
      <c r="G5046" t="n">
        <v>3.4</v>
      </c>
      <c r="H5046" t="n">
        <v>0</v>
      </c>
      <c r="I5046" t="n">
        <v>0</v>
      </c>
      <c r="J5046" t="n">
        <v>0</v>
      </c>
      <c r="K5046" t="n">
        <v>0</v>
      </c>
      <c r="L5046" t="n">
        <v>0</v>
      </c>
      <c r="M5046" t="n">
        <v>0</v>
      </c>
      <c r="N5046" t="n">
        <v>0</v>
      </c>
      <c r="O5046" t="n">
        <v>0</v>
      </c>
      <c r="P5046" t="n">
        <v>0</v>
      </c>
      <c r="Q5046" t="n">
        <v>0</v>
      </c>
      <c r="R5046" s="2" t="inlineStr"/>
    </row>
    <row r="5047" ht="15" customHeight="1">
      <c r="A5047" t="inlineStr">
        <is>
          <t>A 206-2023</t>
        </is>
      </c>
      <c r="B5047" s="1" t="n">
        <v>44928</v>
      </c>
      <c r="C5047" s="1" t="n">
        <v>45210</v>
      </c>
      <c r="D5047" t="inlineStr">
        <is>
          <t>DALARNAS LÄN</t>
        </is>
      </c>
      <c r="E5047" t="inlineStr">
        <is>
          <t>MALUNG-SÄLEN</t>
        </is>
      </c>
      <c r="G5047" t="n">
        <v>7.6</v>
      </c>
      <c r="H5047" t="n">
        <v>0</v>
      </c>
      <c r="I5047" t="n">
        <v>0</v>
      </c>
      <c r="J5047" t="n">
        <v>0</v>
      </c>
      <c r="K5047" t="n">
        <v>0</v>
      </c>
      <c r="L5047" t="n">
        <v>0</v>
      </c>
      <c r="M5047" t="n">
        <v>0</v>
      </c>
      <c r="N5047" t="n">
        <v>0</v>
      </c>
      <c r="O5047" t="n">
        <v>0</v>
      </c>
      <c r="P5047" t="n">
        <v>0</v>
      </c>
      <c r="Q5047" t="n">
        <v>0</v>
      </c>
      <c r="R5047" s="2" t="inlineStr"/>
    </row>
    <row r="5048" ht="15" customHeight="1">
      <c r="A5048" t="inlineStr">
        <is>
          <t>A 320-2023</t>
        </is>
      </c>
      <c r="B5048" s="1" t="n">
        <v>44929</v>
      </c>
      <c r="C5048" s="1" t="n">
        <v>45210</v>
      </c>
      <c r="D5048" t="inlineStr">
        <is>
          <t>DALARNAS LÄN</t>
        </is>
      </c>
      <c r="E5048" t="inlineStr">
        <is>
          <t>LEKSAND</t>
        </is>
      </c>
      <c r="F5048" t="inlineStr">
        <is>
          <t>Övriga Aktiebolag</t>
        </is>
      </c>
      <c r="G5048" t="n">
        <v>5.4</v>
      </c>
      <c r="H5048" t="n">
        <v>0</v>
      </c>
      <c r="I5048" t="n">
        <v>0</v>
      </c>
      <c r="J5048" t="n">
        <v>0</v>
      </c>
      <c r="K5048" t="n">
        <v>0</v>
      </c>
      <c r="L5048" t="n">
        <v>0</v>
      </c>
      <c r="M5048" t="n">
        <v>0</v>
      </c>
      <c r="N5048" t="n">
        <v>0</v>
      </c>
      <c r="O5048" t="n">
        <v>0</v>
      </c>
      <c r="P5048" t="n">
        <v>0</v>
      </c>
      <c r="Q5048" t="n">
        <v>0</v>
      </c>
      <c r="R5048" s="2" t="inlineStr"/>
    </row>
    <row r="5049" ht="15" customHeight="1">
      <c r="A5049" t="inlineStr">
        <is>
          <t>A 315-2023</t>
        </is>
      </c>
      <c r="B5049" s="1" t="n">
        <v>44929</v>
      </c>
      <c r="C5049" s="1" t="n">
        <v>45210</v>
      </c>
      <c r="D5049" t="inlineStr">
        <is>
          <t>DALARNAS LÄN</t>
        </is>
      </c>
      <c r="E5049" t="inlineStr">
        <is>
          <t>LEKSAND</t>
        </is>
      </c>
      <c r="F5049" t="inlineStr">
        <is>
          <t>Övriga Aktiebolag</t>
        </is>
      </c>
      <c r="G5049" t="n">
        <v>9.300000000000001</v>
      </c>
      <c r="H5049" t="n">
        <v>0</v>
      </c>
      <c r="I5049" t="n">
        <v>0</v>
      </c>
      <c r="J5049" t="n">
        <v>0</v>
      </c>
      <c r="K5049" t="n">
        <v>0</v>
      </c>
      <c r="L5049" t="n">
        <v>0</v>
      </c>
      <c r="M5049" t="n">
        <v>0</v>
      </c>
      <c r="N5049" t="n">
        <v>0</v>
      </c>
      <c r="O5049" t="n">
        <v>0</v>
      </c>
      <c r="P5049" t="n">
        <v>0</v>
      </c>
      <c r="Q5049" t="n">
        <v>0</v>
      </c>
      <c r="R5049" s="2" t="inlineStr"/>
    </row>
    <row r="5050" ht="15" customHeight="1">
      <c r="A5050" t="inlineStr">
        <is>
          <t>A 325-2023</t>
        </is>
      </c>
      <c r="B5050" s="1" t="n">
        <v>44929</v>
      </c>
      <c r="C5050" s="1" t="n">
        <v>45210</v>
      </c>
      <c r="D5050" t="inlineStr">
        <is>
          <t>DALARNAS LÄN</t>
        </is>
      </c>
      <c r="E5050" t="inlineStr">
        <is>
          <t>LEKSAND</t>
        </is>
      </c>
      <c r="F5050" t="inlineStr">
        <is>
          <t>Övriga Aktiebolag</t>
        </is>
      </c>
      <c r="G5050" t="n">
        <v>7.1</v>
      </c>
      <c r="H5050" t="n">
        <v>0</v>
      </c>
      <c r="I5050" t="n">
        <v>0</v>
      </c>
      <c r="J5050" t="n">
        <v>0</v>
      </c>
      <c r="K5050" t="n">
        <v>0</v>
      </c>
      <c r="L5050" t="n">
        <v>0</v>
      </c>
      <c r="M5050" t="n">
        <v>0</v>
      </c>
      <c r="N5050" t="n">
        <v>0</v>
      </c>
      <c r="O5050" t="n">
        <v>0</v>
      </c>
      <c r="P5050" t="n">
        <v>0</v>
      </c>
      <c r="Q5050" t="n">
        <v>0</v>
      </c>
      <c r="R5050" s="2" t="inlineStr"/>
    </row>
    <row r="5051" ht="15" customHeight="1">
      <c r="A5051" t="inlineStr">
        <is>
          <t>A 381-2023</t>
        </is>
      </c>
      <c r="B5051" s="1" t="n">
        <v>44929</v>
      </c>
      <c r="C5051" s="1" t="n">
        <v>45210</v>
      </c>
      <c r="D5051" t="inlineStr">
        <is>
          <t>DALARNAS LÄN</t>
        </is>
      </c>
      <c r="E5051" t="inlineStr">
        <is>
          <t>LUDVIKA</t>
        </is>
      </c>
      <c r="G5051" t="n">
        <v>7.9</v>
      </c>
      <c r="H5051" t="n">
        <v>0</v>
      </c>
      <c r="I5051" t="n">
        <v>0</v>
      </c>
      <c r="J5051" t="n">
        <v>0</v>
      </c>
      <c r="K5051" t="n">
        <v>0</v>
      </c>
      <c r="L5051" t="n">
        <v>0</v>
      </c>
      <c r="M5051" t="n">
        <v>0</v>
      </c>
      <c r="N5051" t="n">
        <v>0</v>
      </c>
      <c r="O5051" t="n">
        <v>0</v>
      </c>
      <c r="P5051" t="n">
        <v>0</v>
      </c>
      <c r="Q5051" t="n">
        <v>0</v>
      </c>
      <c r="R5051" s="2" t="inlineStr"/>
    </row>
    <row r="5052" ht="15" customHeight="1">
      <c r="A5052" t="inlineStr">
        <is>
          <t>A 1047-2023</t>
        </is>
      </c>
      <c r="B5052" s="1" t="n">
        <v>44929</v>
      </c>
      <c r="C5052" s="1" t="n">
        <v>45210</v>
      </c>
      <c r="D5052" t="inlineStr">
        <is>
          <t>DALARNAS LÄN</t>
        </is>
      </c>
      <c r="E5052" t="inlineStr">
        <is>
          <t>LUDVIKA</t>
        </is>
      </c>
      <c r="F5052" t="inlineStr">
        <is>
          <t>Kommuner</t>
        </is>
      </c>
      <c r="G5052" t="n">
        <v>3.2</v>
      </c>
      <c r="H5052" t="n">
        <v>0</v>
      </c>
      <c r="I5052" t="n">
        <v>0</v>
      </c>
      <c r="J5052" t="n">
        <v>0</v>
      </c>
      <c r="K5052" t="n">
        <v>0</v>
      </c>
      <c r="L5052" t="n">
        <v>0</v>
      </c>
      <c r="M5052" t="n">
        <v>0</v>
      </c>
      <c r="N5052" t="n">
        <v>0</v>
      </c>
      <c r="O5052" t="n">
        <v>0</v>
      </c>
      <c r="P5052" t="n">
        <v>0</v>
      </c>
      <c r="Q5052" t="n">
        <v>0</v>
      </c>
      <c r="R5052" s="2" t="inlineStr"/>
    </row>
    <row r="5053" ht="15" customHeight="1">
      <c r="A5053" t="inlineStr">
        <is>
          <t>A 1074-2023</t>
        </is>
      </c>
      <c r="B5053" s="1" t="n">
        <v>44929</v>
      </c>
      <c r="C5053" s="1" t="n">
        <v>45210</v>
      </c>
      <c r="D5053" t="inlineStr">
        <is>
          <t>DALARNAS LÄN</t>
        </is>
      </c>
      <c r="E5053" t="inlineStr">
        <is>
          <t>RÄTTVIK</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492-2023</t>
        </is>
      </c>
      <c r="B5054" s="1" t="n">
        <v>44930</v>
      </c>
      <c r="C5054" s="1" t="n">
        <v>45210</v>
      </c>
      <c r="D5054" t="inlineStr">
        <is>
          <t>DALARNAS LÄN</t>
        </is>
      </c>
      <c r="E5054" t="inlineStr">
        <is>
          <t>RÄTTVIK</t>
        </is>
      </c>
      <c r="G5054" t="n">
        <v>7.1</v>
      </c>
      <c r="H5054" t="n">
        <v>0</v>
      </c>
      <c r="I5054" t="n">
        <v>0</v>
      </c>
      <c r="J5054" t="n">
        <v>0</v>
      </c>
      <c r="K5054" t="n">
        <v>0</v>
      </c>
      <c r="L5054" t="n">
        <v>0</v>
      </c>
      <c r="M5054" t="n">
        <v>0</v>
      </c>
      <c r="N5054" t="n">
        <v>0</v>
      </c>
      <c r="O5054" t="n">
        <v>0</v>
      </c>
      <c r="P5054" t="n">
        <v>0</v>
      </c>
      <c r="Q5054" t="n">
        <v>0</v>
      </c>
      <c r="R5054" s="2" t="inlineStr"/>
    </row>
    <row r="5055" ht="15" customHeight="1">
      <c r="A5055" t="inlineStr">
        <is>
          <t>A 490-2023</t>
        </is>
      </c>
      <c r="B5055" s="1" t="n">
        <v>44930</v>
      </c>
      <c r="C5055" s="1" t="n">
        <v>45210</v>
      </c>
      <c r="D5055" t="inlineStr">
        <is>
          <t>DALARNAS LÄN</t>
        </is>
      </c>
      <c r="E5055" t="inlineStr">
        <is>
          <t>RÄTTVIK</t>
        </is>
      </c>
      <c r="G5055" t="n">
        <v>8.4</v>
      </c>
      <c r="H5055" t="n">
        <v>0</v>
      </c>
      <c r="I5055" t="n">
        <v>0</v>
      </c>
      <c r="J5055" t="n">
        <v>0</v>
      </c>
      <c r="K5055" t="n">
        <v>0</v>
      </c>
      <c r="L5055" t="n">
        <v>0</v>
      </c>
      <c r="M5055" t="n">
        <v>0</v>
      </c>
      <c r="N5055" t="n">
        <v>0</v>
      </c>
      <c r="O5055" t="n">
        <v>0</v>
      </c>
      <c r="P5055" t="n">
        <v>0</v>
      </c>
      <c r="Q5055" t="n">
        <v>0</v>
      </c>
      <c r="R5055" s="2" t="inlineStr"/>
    </row>
    <row r="5056" ht="15" customHeight="1">
      <c r="A5056" t="inlineStr">
        <is>
          <t>A 493-2023</t>
        </is>
      </c>
      <c r="B5056" s="1" t="n">
        <v>44930</v>
      </c>
      <c r="C5056" s="1" t="n">
        <v>45210</v>
      </c>
      <c r="D5056" t="inlineStr">
        <is>
          <t>DALARNAS LÄN</t>
        </is>
      </c>
      <c r="E5056" t="inlineStr">
        <is>
          <t>RÄTTVIK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651-2023</t>
        </is>
      </c>
      <c r="B5057" s="1" t="n">
        <v>44930</v>
      </c>
      <c r="C5057" s="1" t="n">
        <v>45210</v>
      </c>
      <c r="D5057" t="inlineStr">
        <is>
          <t>DALARNAS LÄN</t>
        </is>
      </c>
      <c r="E5057" t="inlineStr">
        <is>
          <t>RÄTTVIK</t>
        </is>
      </c>
      <c r="G5057" t="n">
        <v>3.9</v>
      </c>
      <c r="H5057" t="n">
        <v>0</v>
      </c>
      <c r="I5057" t="n">
        <v>0</v>
      </c>
      <c r="J5057" t="n">
        <v>0</v>
      </c>
      <c r="K5057" t="n">
        <v>0</v>
      </c>
      <c r="L5057" t="n">
        <v>0</v>
      </c>
      <c r="M5057" t="n">
        <v>0</v>
      </c>
      <c r="N5057" t="n">
        <v>0</v>
      </c>
      <c r="O5057" t="n">
        <v>0</v>
      </c>
      <c r="P5057" t="n">
        <v>0</v>
      </c>
      <c r="Q5057" t="n">
        <v>0</v>
      </c>
      <c r="R5057" s="2" t="inlineStr"/>
    </row>
    <row r="5058" ht="15" customHeight="1">
      <c r="A5058" t="inlineStr">
        <is>
          <t>A 756-2023</t>
        </is>
      </c>
      <c r="B5058" s="1" t="n">
        <v>44931</v>
      </c>
      <c r="C5058" s="1" t="n">
        <v>45210</v>
      </c>
      <c r="D5058" t="inlineStr">
        <is>
          <t>DALARNAS LÄN</t>
        </is>
      </c>
      <c r="E5058" t="inlineStr">
        <is>
          <t>FALUN</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919-2023</t>
        </is>
      </c>
      <c r="B5059" s="1" t="n">
        <v>44932</v>
      </c>
      <c r="C5059" s="1" t="n">
        <v>45210</v>
      </c>
      <c r="D5059" t="inlineStr">
        <is>
          <t>DALARNAS LÄN</t>
        </is>
      </c>
      <c r="E5059" t="inlineStr">
        <is>
          <t>GAGNEF</t>
        </is>
      </c>
      <c r="G5059" t="n">
        <v>4.1</v>
      </c>
      <c r="H5059" t="n">
        <v>0</v>
      </c>
      <c r="I5059" t="n">
        <v>0</v>
      </c>
      <c r="J5059" t="n">
        <v>0</v>
      </c>
      <c r="K5059" t="n">
        <v>0</v>
      </c>
      <c r="L5059" t="n">
        <v>0</v>
      </c>
      <c r="M5059" t="n">
        <v>0</v>
      </c>
      <c r="N5059" t="n">
        <v>0</v>
      </c>
      <c r="O5059" t="n">
        <v>0</v>
      </c>
      <c r="P5059" t="n">
        <v>0</v>
      </c>
      <c r="Q5059" t="n">
        <v>0</v>
      </c>
      <c r="R5059" s="2" t="inlineStr"/>
    </row>
    <row r="5060" ht="15" customHeight="1">
      <c r="A5060" t="inlineStr">
        <is>
          <t>A 971-2023</t>
        </is>
      </c>
      <c r="B5060" s="1" t="n">
        <v>44935</v>
      </c>
      <c r="C5060" s="1" t="n">
        <v>45210</v>
      </c>
      <c r="D5060" t="inlineStr">
        <is>
          <t>DALARNAS LÄN</t>
        </is>
      </c>
      <c r="E5060" t="inlineStr">
        <is>
          <t>BORLÄNGE</t>
        </is>
      </c>
      <c r="F5060" t="inlineStr">
        <is>
          <t>Bergvik skog väst AB</t>
        </is>
      </c>
      <c r="G5060" t="n">
        <v>2.8</v>
      </c>
      <c r="H5060" t="n">
        <v>0</v>
      </c>
      <c r="I5060" t="n">
        <v>0</v>
      </c>
      <c r="J5060" t="n">
        <v>0</v>
      </c>
      <c r="K5060" t="n">
        <v>0</v>
      </c>
      <c r="L5060" t="n">
        <v>0</v>
      </c>
      <c r="M5060" t="n">
        <v>0</v>
      </c>
      <c r="N5060" t="n">
        <v>0</v>
      </c>
      <c r="O5060" t="n">
        <v>0</v>
      </c>
      <c r="P5060" t="n">
        <v>0</v>
      </c>
      <c r="Q5060" t="n">
        <v>0</v>
      </c>
      <c r="R5060" s="2" t="inlineStr"/>
    </row>
    <row r="5061" ht="15" customHeight="1">
      <c r="A5061" t="inlineStr">
        <is>
          <t>A 1010-2023</t>
        </is>
      </c>
      <c r="B5061" s="1" t="n">
        <v>44935</v>
      </c>
      <c r="C5061" s="1" t="n">
        <v>45210</v>
      </c>
      <c r="D5061" t="inlineStr">
        <is>
          <t>DALARNAS LÄN</t>
        </is>
      </c>
      <c r="E5061" t="inlineStr">
        <is>
          <t>FALUN</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1020-2023</t>
        </is>
      </c>
      <c r="B5062" s="1" t="n">
        <v>44935</v>
      </c>
      <c r="C5062" s="1" t="n">
        <v>45210</v>
      </c>
      <c r="D5062" t="inlineStr">
        <is>
          <t>DALARNAS LÄN</t>
        </is>
      </c>
      <c r="E5062" t="inlineStr">
        <is>
          <t>FALUN</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1088-2023</t>
        </is>
      </c>
      <c r="B5063" s="1" t="n">
        <v>44935</v>
      </c>
      <c r="C5063" s="1" t="n">
        <v>45210</v>
      </c>
      <c r="D5063" t="inlineStr">
        <is>
          <t>DALARNAS LÄN</t>
        </is>
      </c>
      <c r="E5063" t="inlineStr">
        <is>
          <t>BORLÄNGE</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1252-2023</t>
        </is>
      </c>
      <c r="B5064" s="1" t="n">
        <v>44936</v>
      </c>
      <c r="C5064" s="1" t="n">
        <v>45210</v>
      </c>
      <c r="D5064" t="inlineStr">
        <is>
          <t>DALARNAS LÄN</t>
        </is>
      </c>
      <c r="E5064" t="inlineStr">
        <is>
          <t>MALUNG-SÄLEN</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1888-2023</t>
        </is>
      </c>
      <c r="B5065" s="1" t="n">
        <v>44937</v>
      </c>
      <c r="C5065" s="1" t="n">
        <v>45210</v>
      </c>
      <c r="D5065" t="inlineStr">
        <is>
          <t>DALARNAS LÄN</t>
        </is>
      </c>
      <c r="E5065" t="inlineStr">
        <is>
          <t>MORA</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1898-2023</t>
        </is>
      </c>
      <c r="B5066" s="1" t="n">
        <v>44937</v>
      </c>
      <c r="C5066" s="1" t="n">
        <v>45210</v>
      </c>
      <c r="D5066" t="inlineStr">
        <is>
          <t>DALARNAS LÄN</t>
        </is>
      </c>
      <c r="E5066" t="inlineStr">
        <is>
          <t>SMEDJEBACKEN</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1894-2023</t>
        </is>
      </c>
      <c r="B5067" s="1" t="n">
        <v>44937</v>
      </c>
      <c r="C5067" s="1" t="n">
        <v>45210</v>
      </c>
      <c r="D5067" t="inlineStr">
        <is>
          <t>DALARNAS LÄN</t>
        </is>
      </c>
      <c r="E5067" t="inlineStr">
        <is>
          <t>MORA</t>
        </is>
      </c>
      <c r="G5067" t="n">
        <v>1.6</v>
      </c>
      <c r="H5067" t="n">
        <v>0</v>
      </c>
      <c r="I5067" t="n">
        <v>0</v>
      </c>
      <c r="J5067" t="n">
        <v>0</v>
      </c>
      <c r="K5067" t="n">
        <v>0</v>
      </c>
      <c r="L5067" t="n">
        <v>0</v>
      </c>
      <c r="M5067" t="n">
        <v>0</v>
      </c>
      <c r="N5067" t="n">
        <v>0</v>
      </c>
      <c r="O5067" t="n">
        <v>0</v>
      </c>
      <c r="P5067" t="n">
        <v>0</v>
      </c>
      <c r="Q5067" t="n">
        <v>0</v>
      </c>
      <c r="R5067" s="2" t="inlineStr"/>
    </row>
    <row r="5068" ht="15" customHeight="1">
      <c r="A5068" t="inlineStr">
        <is>
          <t>A 1462-2023</t>
        </is>
      </c>
      <c r="B5068" s="1" t="n">
        <v>44937</v>
      </c>
      <c r="C5068" s="1" t="n">
        <v>45210</v>
      </c>
      <c r="D5068" t="inlineStr">
        <is>
          <t>DALARNAS LÄN</t>
        </is>
      </c>
      <c r="E5068" t="inlineStr">
        <is>
          <t>FALUN</t>
        </is>
      </c>
      <c r="G5068" t="n">
        <v>8.199999999999999</v>
      </c>
      <c r="H5068" t="n">
        <v>0</v>
      </c>
      <c r="I5068" t="n">
        <v>0</v>
      </c>
      <c r="J5068" t="n">
        <v>0</v>
      </c>
      <c r="K5068" t="n">
        <v>0</v>
      </c>
      <c r="L5068" t="n">
        <v>0</v>
      </c>
      <c r="M5068" t="n">
        <v>0</v>
      </c>
      <c r="N5068" t="n">
        <v>0</v>
      </c>
      <c r="O5068" t="n">
        <v>0</v>
      </c>
      <c r="P5068" t="n">
        <v>0</v>
      </c>
      <c r="Q5068" t="n">
        <v>0</v>
      </c>
      <c r="R5068" s="2" t="inlineStr"/>
    </row>
    <row r="5069" ht="15" customHeight="1">
      <c r="A5069" t="inlineStr">
        <is>
          <t>A 1523-2023</t>
        </is>
      </c>
      <c r="B5069" s="1" t="n">
        <v>44937</v>
      </c>
      <c r="C5069" s="1" t="n">
        <v>45210</v>
      </c>
      <c r="D5069" t="inlineStr">
        <is>
          <t>DALARNAS LÄN</t>
        </is>
      </c>
      <c r="E5069" t="inlineStr">
        <is>
          <t>ÄLVDALEN</t>
        </is>
      </c>
      <c r="F5069" t="inlineStr">
        <is>
          <t>Allmännings- och besparingsskogar</t>
        </is>
      </c>
      <c r="G5069" t="n">
        <v>32.9</v>
      </c>
      <c r="H5069" t="n">
        <v>0</v>
      </c>
      <c r="I5069" t="n">
        <v>0</v>
      </c>
      <c r="J5069" t="n">
        <v>0</v>
      </c>
      <c r="K5069" t="n">
        <v>0</v>
      </c>
      <c r="L5069" t="n">
        <v>0</v>
      </c>
      <c r="M5069" t="n">
        <v>0</v>
      </c>
      <c r="N5069" t="n">
        <v>0</v>
      </c>
      <c r="O5069" t="n">
        <v>0</v>
      </c>
      <c r="P5069" t="n">
        <v>0</v>
      </c>
      <c r="Q5069" t="n">
        <v>0</v>
      </c>
      <c r="R5069" s="2" t="inlineStr"/>
    </row>
    <row r="5070" ht="15" customHeight="1">
      <c r="A5070" t="inlineStr">
        <is>
          <t>A 1590-2023</t>
        </is>
      </c>
      <c r="B5070" s="1" t="n">
        <v>44937</v>
      </c>
      <c r="C5070" s="1" t="n">
        <v>45210</v>
      </c>
      <c r="D5070" t="inlineStr">
        <is>
          <t>DALARNAS LÄN</t>
        </is>
      </c>
      <c r="E5070" t="inlineStr">
        <is>
          <t>MALUNG-SÄLEN</t>
        </is>
      </c>
      <c r="G5070" t="n">
        <v>5.1</v>
      </c>
      <c r="H5070" t="n">
        <v>0</v>
      </c>
      <c r="I5070" t="n">
        <v>0</v>
      </c>
      <c r="J5070" t="n">
        <v>0</v>
      </c>
      <c r="K5070" t="n">
        <v>0</v>
      </c>
      <c r="L5070" t="n">
        <v>0</v>
      </c>
      <c r="M5070" t="n">
        <v>0</v>
      </c>
      <c r="N5070" t="n">
        <v>0</v>
      </c>
      <c r="O5070" t="n">
        <v>0</v>
      </c>
      <c r="P5070" t="n">
        <v>0</v>
      </c>
      <c r="Q5070" t="n">
        <v>0</v>
      </c>
      <c r="R5070" s="2" t="inlineStr"/>
    </row>
    <row r="5071" ht="15" customHeight="1">
      <c r="A5071" t="inlineStr">
        <is>
          <t>A 1897-2023</t>
        </is>
      </c>
      <c r="B5071" s="1" t="n">
        <v>44937</v>
      </c>
      <c r="C5071" s="1" t="n">
        <v>45210</v>
      </c>
      <c r="D5071" t="inlineStr">
        <is>
          <t>DALARNAS LÄN</t>
        </is>
      </c>
      <c r="E5071" t="inlineStr">
        <is>
          <t>MORA</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1466-2023</t>
        </is>
      </c>
      <c r="B5072" s="1" t="n">
        <v>44937</v>
      </c>
      <c r="C5072" s="1" t="n">
        <v>45210</v>
      </c>
      <c r="D5072" t="inlineStr">
        <is>
          <t>DALARNAS LÄN</t>
        </is>
      </c>
      <c r="E5072" t="inlineStr">
        <is>
          <t>FALUN</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1906-2023</t>
        </is>
      </c>
      <c r="B5073" s="1" t="n">
        <v>44937</v>
      </c>
      <c r="C5073" s="1" t="n">
        <v>45210</v>
      </c>
      <c r="D5073" t="inlineStr">
        <is>
          <t>DALARNAS LÄN</t>
        </is>
      </c>
      <c r="E5073" t="inlineStr">
        <is>
          <t>MORA</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1712-2023</t>
        </is>
      </c>
      <c r="B5074" s="1" t="n">
        <v>44938</v>
      </c>
      <c r="C5074" s="1" t="n">
        <v>45210</v>
      </c>
      <c r="D5074" t="inlineStr">
        <is>
          <t>DALARNAS LÄN</t>
        </is>
      </c>
      <c r="E5074" t="inlineStr">
        <is>
          <t>ÄLVDALEN</t>
        </is>
      </c>
      <c r="G5074" t="n">
        <v>15.4</v>
      </c>
      <c r="H5074" t="n">
        <v>0</v>
      </c>
      <c r="I5074" t="n">
        <v>0</v>
      </c>
      <c r="J5074" t="n">
        <v>0</v>
      </c>
      <c r="K5074" t="n">
        <v>0</v>
      </c>
      <c r="L5074" t="n">
        <v>0</v>
      </c>
      <c r="M5074" t="n">
        <v>0</v>
      </c>
      <c r="N5074" t="n">
        <v>0</v>
      </c>
      <c r="O5074" t="n">
        <v>0</v>
      </c>
      <c r="P5074" t="n">
        <v>0</v>
      </c>
      <c r="Q5074" t="n">
        <v>0</v>
      </c>
      <c r="R5074" s="2" t="inlineStr"/>
    </row>
    <row r="5075" ht="15" customHeight="1">
      <c r="A5075" t="inlineStr">
        <is>
          <t>A 1694-2023</t>
        </is>
      </c>
      <c r="B5075" s="1" t="n">
        <v>44938</v>
      </c>
      <c r="C5075" s="1" t="n">
        <v>45210</v>
      </c>
      <c r="D5075" t="inlineStr">
        <is>
          <t>DALARNAS LÄN</t>
        </is>
      </c>
      <c r="E5075" t="inlineStr">
        <is>
          <t>MALUNG-SÄLEN</t>
        </is>
      </c>
      <c r="G5075" t="n">
        <v>7.8</v>
      </c>
      <c r="H5075" t="n">
        <v>0</v>
      </c>
      <c r="I5075" t="n">
        <v>0</v>
      </c>
      <c r="J5075" t="n">
        <v>0</v>
      </c>
      <c r="K5075" t="n">
        <v>0</v>
      </c>
      <c r="L5075" t="n">
        <v>0</v>
      </c>
      <c r="M5075" t="n">
        <v>0</v>
      </c>
      <c r="N5075" t="n">
        <v>0</v>
      </c>
      <c r="O5075" t="n">
        <v>0</v>
      </c>
      <c r="P5075" t="n">
        <v>0</v>
      </c>
      <c r="Q5075" t="n">
        <v>0</v>
      </c>
      <c r="R5075" s="2" t="inlineStr"/>
    </row>
    <row r="5076" ht="15" customHeight="1">
      <c r="A5076" t="inlineStr">
        <is>
          <t>A 1704-2023</t>
        </is>
      </c>
      <c r="B5076" s="1" t="n">
        <v>44938</v>
      </c>
      <c r="C5076" s="1" t="n">
        <v>45210</v>
      </c>
      <c r="D5076" t="inlineStr">
        <is>
          <t>DALARNAS LÄN</t>
        </is>
      </c>
      <c r="E5076" t="inlineStr">
        <is>
          <t>MALUNG-SÄLEN</t>
        </is>
      </c>
      <c r="G5076" t="n">
        <v>4.7</v>
      </c>
      <c r="H5076" t="n">
        <v>0</v>
      </c>
      <c r="I5076" t="n">
        <v>0</v>
      </c>
      <c r="J5076" t="n">
        <v>0</v>
      </c>
      <c r="K5076" t="n">
        <v>0</v>
      </c>
      <c r="L5076" t="n">
        <v>0</v>
      </c>
      <c r="M5076" t="n">
        <v>0</v>
      </c>
      <c r="N5076" t="n">
        <v>0</v>
      </c>
      <c r="O5076" t="n">
        <v>0</v>
      </c>
      <c r="P5076" t="n">
        <v>0</v>
      </c>
      <c r="Q5076" t="n">
        <v>0</v>
      </c>
      <c r="R5076" s="2" t="inlineStr"/>
    </row>
    <row r="5077" ht="15" customHeight="1">
      <c r="A5077" t="inlineStr">
        <is>
          <t>A 2306-2023</t>
        </is>
      </c>
      <c r="B5077" s="1" t="n">
        <v>44942</v>
      </c>
      <c r="C5077" s="1" t="n">
        <v>45210</v>
      </c>
      <c r="D5077" t="inlineStr">
        <is>
          <t>DALARNAS LÄN</t>
        </is>
      </c>
      <c r="E5077" t="inlineStr">
        <is>
          <t>ÄLVDALEN</t>
        </is>
      </c>
      <c r="G5077" t="n">
        <v>9.4</v>
      </c>
      <c r="H5077" t="n">
        <v>0</v>
      </c>
      <c r="I5077" t="n">
        <v>0</v>
      </c>
      <c r="J5077" t="n">
        <v>0</v>
      </c>
      <c r="K5077" t="n">
        <v>0</v>
      </c>
      <c r="L5077" t="n">
        <v>0</v>
      </c>
      <c r="M5077" t="n">
        <v>0</v>
      </c>
      <c r="N5077" t="n">
        <v>0</v>
      </c>
      <c r="O5077" t="n">
        <v>0</v>
      </c>
      <c r="P5077" t="n">
        <v>0</v>
      </c>
      <c r="Q5077" t="n">
        <v>0</v>
      </c>
      <c r="R5077" s="2" t="inlineStr"/>
    </row>
    <row r="5078" ht="15" customHeight="1">
      <c r="A5078" t="inlineStr">
        <is>
          <t>A 2614-2023</t>
        </is>
      </c>
      <c r="B5078" s="1" t="n">
        <v>44942</v>
      </c>
      <c r="C5078" s="1" t="n">
        <v>45210</v>
      </c>
      <c r="D5078" t="inlineStr">
        <is>
          <t>DALARNAS LÄN</t>
        </is>
      </c>
      <c r="E5078" t="inlineStr">
        <is>
          <t>LUDVIKA</t>
        </is>
      </c>
      <c r="G5078" t="n">
        <v>13.1</v>
      </c>
      <c r="H5078" t="n">
        <v>0</v>
      </c>
      <c r="I5078" t="n">
        <v>0</v>
      </c>
      <c r="J5078" t="n">
        <v>0</v>
      </c>
      <c r="K5078" t="n">
        <v>0</v>
      </c>
      <c r="L5078" t="n">
        <v>0</v>
      </c>
      <c r="M5078" t="n">
        <v>0</v>
      </c>
      <c r="N5078" t="n">
        <v>0</v>
      </c>
      <c r="O5078" t="n">
        <v>0</v>
      </c>
      <c r="P5078" t="n">
        <v>0</v>
      </c>
      <c r="Q5078" t="n">
        <v>0</v>
      </c>
      <c r="R5078" s="2" t="inlineStr"/>
    </row>
    <row r="5079" ht="15" customHeight="1">
      <c r="A5079" t="inlineStr">
        <is>
          <t>A 2310-2023</t>
        </is>
      </c>
      <c r="B5079" s="1" t="n">
        <v>44942</v>
      </c>
      <c r="C5079" s="1" t="n">
        <v>45210</v>
      </c>
      <c r="D5079" t="inlineStr">
        <is>
          <t>DALARNAS LÄN</t>
        </is>
      </c>
      <c r="E5079" t="inlineStr">
        <is>
          <t>VANSBRO</t>
        </is>
      </c>
      <c r="G5079" t="n">
        <v>3.3</v>
      </c>
      <c r="H5079" t="n">
        <v>0</v>
      </c>
      <c r="I5079" t="n">
        <v>0</v>
      </c>
      <c r="J5079" t="n">
        <v>0</v>
      </c>
      <c r="K5079" t="n">
        <v>0</v>
      </c>
      <c r="L5079" t="n">
        <v>0</v>
      </c>
      <c r="M5079" t="n">
        <v>0</v>
      </c>
      <c r="N5079" t="n">
        <v>0</v>
      </c>
      <c r="O5079" t="n">
        <v>0</v>
      </c>
      <c r="P5079" t="n">
        <v>0</v>
      </c>
      <c r="Q5079" t="n">
        <v>0</v>
      </c>
      <c r="R5079" s="2" t="inlineStr"/>
    </row>
    <row r="5080" ht="15" customHeight="1">
      <c r="A5080" t="inlineStr">
        <is>
          <t>A 2228-2023</t>
        </is>
      </c>
      <c r="B5080" s="1" t="n">
        <v>44942</v>
      </c>
      <c r="C5080" s="1" t="n">
        <v>45210</v>
      </c>
      <c r="D5080" t="inlineStr">
        <is>
          <t>DALARNAS LÄN</t>
        </is>
      </c>
      <c r="E5080" t="inlineStr">
        <is>
          <t>ORSA</t>
        </is>
      </c>
      <c r="G5080" t="n">
        <v>6.4</v>
      </c>
      <c r="H5080" t="n">
        <v>0</v>
      </c>
      <c r="I5080" t="n">
        <v>0</v>
      </c>
      <c r="J5080" t="n">
        <v>0</v>
      </c>
      <c r="K5080" t="n">
        <v>0</v>
      </c>
      <c r="L5080" t="n">
        <v>0</v>
      </c>
      <c r="M5080" t="n">
        <v>0</v>
      </c>
      <c r="N5080" t="n">
        <v>0</v>
      </c>
      <c r="O5080" t="n">
        <v>0</v>
      </c>
      <c r="P5080" t="n">
        <v>0</v>
      </c>
      <c r="Q5080" t="n">
        <v>0</v>
      </c>
      <c r="R5080" s="2" t="inlineStr"/>
    </row>
    <row r="5081" ht="15" customHeight="1">
      <c r="A5081" t="inlineStr">
        <is>
          <t>A 2304-2023</t>
        </is>
      </c>
      <c r="B5081" s="1" t="n">
        <v>44942</v>
      </c>
      <c r="C5081" s="1" t="n">
        <v>45210</v>
      </c>
      <c r="D5081" t="inlineStr">
        <is>
          <t>DALARNAS LÄN</t>
        </is>
      </c>
      <c r="E5081" t="inlineStr">
        <is>
          <t>MORA</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2311-2023</t>
        </is>
      </c>
      <c r="B5082" s="1" t="n">
        <v>44942</v>
      </c>
      <c r="C5082" s="1" t="n">
        <v>45210</v>
      </c>
      <c r="D5082" t="inlineStr">
        <is>
          <t>DALARNAS LÄN</t>
        </is>
      </c>
      <c r="E5082" t="inlineStr">
        <is>
          <t>ÄLVDALEN</t>
        </is>
      </c>
      <c r="G5082" t="n">
        <v>5.4</v>
      </c>
      <c r="H5082" t="n">
        <v>0</v>
      </c>
      <c r="I5082" t="n">
        <v>0</v>
      </c>
      <c r="J5082" t="n">
        <v>0</v>
      </c>
      <c r="K5082" t="n">
        <v>0</v>
      </c>
      <c r="L5082" t="n">
        <v>0</v>
      </c>
      <c r="M5082" t="n">
        <v>0</v>
      </c>
      <c r="N5082" t="n">
        <v>0</v>
      </c>
      <c r="O5082" t="n">
        <v>0</v>
      </c>
      <c r="P5082" t="n">
        <v>0</v>
      </c>
      <c r="Q5082" t="n">
        <v>0</v>
      </c>
      <c r="R5082" s="2" t="inlineStr"/>
    </row>
    <row r="5083" ht="15" customHeight="1">
      <c r="A5083" t="inlineStr">
        <is>
          <t>A 2472-2023</t>
        </is>
      </c>
      <c r="B5083" s="1" t="n">
        <v>44943</v>
      </c>
      <c r="C5083" s="1" t="n">
        <v>45210</v>
      </c>
      <c r="D5083" t="inlineStr">
        <is>
          <t>DALARNAS LÄN</t>
        </is>
      </c>
      <c r="E5083" t="inlineStr">
        <is>
          <t>VANSBRO</t>
        </is>
      </c>
      <c r="G5083" t="n">
        <v>0.8</v>
      </c>
      <c r="H5083" t="n">
        <v>0</v>
      </c>
      <c r="I5083" t="n">
        <v>0</v>
      </c>
      <c r="J5083" t="n">
        <v>0</v>
      </c>
      <c r="K5083" t="n">
        <v>0</v>
      </c>
      <c r="L5083" t="n">
        <v>0</v>
      </c>
      <c r="M5083" t="n">
        <v>0</v>
      </c>
      <c r="N5083" t="n">
        <v>0</v>
      </c>
      <c r="O5083" t="n">
        <v>0</v>
      </c>
      <c r="P5083" t="n">
        <v>0</v>
      </c>
      <c r="Q5083" t="n">
        <v>0</v>
      </c>
      <c r="R5083" s="2" t="inlineStr"/>
    </row>
    <row r="5084" ht="15" customHeight="1">
      <c r="A5084" t="inlineStr">
        <is>
          <t>A 2612-2023</t>
        </is>
      </c>
      <c r="B5084" s="1" t="n">
        <v>44944</v>
      </c>
      <c r="C5084" s="1" t="n">
        <v>45210</v>
      </c>
      <c r="D5084" t="inlineStr">
        <is>
          <t>DALARNAS LÄN</t>
        </is>
      </c>
      <c r="E5084" t="inlineStr">
        <is>
          <t>MALUNG-SÄLEN</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3285-2023</t>
        </is>
      </c>
      <c r="B5085" s="1" t="n">
        <v>44945</v>
      </c>
      <c r="C5085" s="1" t="n">
        <v>45210</v>
      </c>
      <c r="D5085" t="inlineStr">
        <is>
          <t>DALARNAS LÄN</t>
        </is>
      </c>
      <c r="E5085" t="inlineStr">
        <is>
          <t>RÄTTVIK</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2973-2023</t>
        </is>
      </c>
      <c r="B5086" s="1" t="n">
        <v>44945</v>
      </c>
      <c r="C5086" s="1" t="n">
        <v>45210</v>
      </c>
      <c r="D5086" t="inlineStr">
        <is>
          <t>DALARNAS LÄN</t>
        </is>
      </c>
      <c r="E5086" t="inlineStr">
        <is>
          <t>FALUN</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2960-2023</t>
        </is>
      </c>
      <c r="B5087" s="1" t="n">
        <v>44945</v>
      </c>
      <c r="C5087" s="1" t="n">
        <v>45210</v>
      </c>
      <c r="D5087" t="inlineStr">
        <is>
          <t>DALARNAS LÄN</t>
        </is>
      </c>
      <c r="E5087" t="inlineStr">
        <is>
          <t>LUDVIKA</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2996-2023</t>
        </is>
      </c>
      <c r="B5088" s="1" t="n">
        <v>44945</v>
      </c>
      <c r="C5088" s="1" t="n">
        <v>45210</v>
      </c>
      <c r="D5088" t="inlineStr">
        <is>
          <t>DALARNAS LÄN</t>
        </is>
      </c>
      <c r="E5088" t="inlineStr">
        <is>
          <t>HEDEMORA</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3186-2023</t>
        </is>
      </c>
      <c r="B5089" s="1" t="n">
        <v>44946</v>
      </c>
      <c r="C5089" s="1" t="n">
        <v>45210</v>
      </c>
      <c r="D5089" t="inlineStr">
        <is>
          <t>DALARNAS LÄN</t>
        </is>
      </c>
      <c r="E5089" t="inlineStr">
        <is>
          <t>MALUNG-SÄLEN</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3179-2023</t>
        </is>
      </c>
      <c r="B5090" s="1" t="n">
        <v>44946</v>
      </c>
      <c r="C5090" s="1" t="n">
        <v>45210</v>
      </c>
      <c r="D5090" t="inlineStr">
        <is>
          <t>DALARNAS LÄN</t>
        </is>
      </c>
      <c r="E5090" t="inlineStr">
        <is>
          <t>MALUNG-SÄLEN</t>
        </is>
      </c>
      <c r="G5090" t="n">
        <v>0.7</v>
      </c>
      <c r="H5090" t="n">
        <v>0</v>
      </c>
      <c r="I5090" t="n">
        <v>0</v>
      </c>
      <c r="J5090" t="n">
        <v>0</v>
      </c>
      <c r="K5090" t="n">
        <v>0</v>
      </c>
      <c r="L5090" t="n">
        <v>0</v>
      </c>
      <c r="M5090" t="n">
        <v>0</v>
      </c>
      <c r="N5090" t="n">
        <v>0</v>
      </c>
      <c r="O5090" t="n">
        <v>0</v>
      </c>
      <c r="P5090" t="n">
        <v>0</v>
      </c>
      <c r="Q5090" t="n">
        <v>0</v>
      </c>
      <c r="R5090" s="2" t="inlineStr"/>
    </row>
    <row r="5091" ht="15" customHeight="1">
      <c r="A5091" t="inlineStr">
        <is>
          <t>A 3360-2023</t>
        </is>
      </c>
      <c r="B5091" s="1" t="n">
        <v>44949</v>
      </c>
      <c r="C5091" s="1" t="n">
        <v>45210</v>
      </c>
      <c r="D5091" t="inlineStr">
        <is>
          <t>DALARNAS LÄN</t>
        </is>
      </c>
      <c r="E5091" t="inlineStr">
        <is>
          <t>FALUN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3583-2023</t>
        </is>
      </c>
      <c r="B5092" s="1" t="n">
        <v>44950</v>
      </c>
      <c r="C5092" s="1" t="n">
        <v>45210</v>
      </c>
      <c r="D5092" t="inlineStr">
        <is>
          <t>DALARNAS LÄN</t>
        </is>
      </c>
      <c r="E5092" t="inlineStr">
        <is>
          <t>MALUNG-SÄLEN</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4155-2023</t>
        </is>
      </c>
      <c r="B5093" s="1" t="n">
        <v>44950</v>
      </c>
      <c r="C5093" s="1" t="n">
        <v>45210</v>
      </c>
      <c r="D5093" t="inlineStr">
        <is>
          <t>DALARNAS LÄN</t>
        </is>
      </c>
      <c r="E5093" t="inlineStr">
        <is>
          <t>SMEDJEBACKEN</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3638-2023</t>
        </is>
      </c>
      <c r="B5094" s="1" t="n">
        <v>44950</v>
      </c>
      <c r="C5094" s="1" t="n">
        <v>45210</v>
      </c>
      <c r="D5094" t="inlineStr">
        <is>
          <t>DALARNAS LÄN</t>
        </is>
      </c>
      <c r="E5094" t="inlineStr">
        <is>
          <t>AVESTA</t>
        </is>
      </c>
      <c r="G5094" t="n">
        <v>8.300000000000001</v>
      </c>
      <c r="H5094" t="n">
        <v>0</v>
      </c>
      <c r="I5094" t="n">
        <v>0</v>
      </c>
      <c r="J5094" t="n">
        <v>0</v>
      </c>
      <c r="K5094" t="n">
        <v>0</v>
      </c>
      <c r="L5094" t="n">
        <v>0</v>
      </c>
      <c r="M5094" t="n">
        <v>0</v>
      </c>
      <c r="N5094" t="n">
        <v>0</v>
      </c>
      <c r="O5094" t="n">
        <v>0</v>
      </c>
      <c r="P5094" t="n">
        <v>0</v>
      </c>
      <c r="Q5094" t="n">
        <v>0</v>
      </c>
      <c r="R5094" s="2" t="inlineStr"/>
    </row>
    <row r="5095" ht="15" customHeight="1">
      <c r="A5095" t="inlineStr">
        <is>
          <t>A 3515-2023</t>
        </is>
      </c>
      <c r="B5095" s="1" t="n">
        <v>44950</v>
      </c>
      <c r="C5095" s="1" t="n">
        <v>45210</v>
      </c>
      <c r="D5095" t="inlineStr">
        <is>
          <t>DALARNAS LÄN</t>
        </is>
      </c>
      <c r="E5095" t="inlineStr">
        <is>
          <t>BORLÄNGE</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3543-2023</t>
        </is>
      </c>
      <c r="B5096" s="1" t="n">
        <v>44950</v>
      </c>
      <c r="C5096" s="1" t="n">
        <v>45210</v>
      </c>
      <c r="D5096" t="inlineStr">
        <is>
          <t>DALARNAS LÄN</t>
        </is>
      </c>
      <c r="E5096" t="inlineStr">
        <is>
          <t>MALUNG-SÄLEN</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3722-2023</t>
        </is>
      </c>
      <c r="B5097" s="1" t="n">
        <v>44951</v>
      </c>
      <c r="C5097" s="1" t="n">
        <v>45210</v>
      </c>
      <c r="D5097" t="inlineStr">
        <is>
          <t>DALARNAS LÄN</t>
        </is>
      </c>
      <c r="E5097" t="inlineStr">
        <is>
          <t>BORLÄNGE</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4182-2023</t>
        </is>
      </c>
      <c r="B5098" s="1" t="n">
        <v>44951</v>
      </c>
      <c r="C5098" s="1" t="n">
        <v>45210</v>
      </c>
      <c r="D5098" t="inlineStr">
        <is>
          <t>DALARNAS LÄN</t>
        </is>
      </c>
      <c r="E5098" t="inlineStr">
        <is>
          <t>LEKSAND</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3708-2023</t>
        </is>
      </c>
      <c r="B5099" s="1" t="n">
        <v>44951</v>
      </c>
      <c r="C5099" s="1" t="n">
        <v>45210</v>
      </c>
      <c r="D5099" t="inlineStr">
        <is>
          <t>DALARNAS LÄN</t>
        </is>
      </c>
      <c r="E5099" t="inlineStr">
        <is>
          <t>FALUN</t>
        </is>
      </c>
      <c r="G5099" t="n">
        <v>16.4</v>
      </c>
      <c r="H5099" t="n">
        <v>0</v>
      </c>
      <c r="I5099" t="n">
        <v>0</v>
      </c>
      <c r="J5099" t="n">
        <v>0</v>
      </c>
      <c r="K5099" t="n">
        <v>0</v>
      </c>
      <c r="L5099" t="n">
        <v>0</v>
      </c>
      <c r="M5099" t="n">
        <v>0</v>
      </c>
      <c r="N5099" t="n">
        <v>0</v>
      </c>
      <c r="O5099" t="n">
        <v>0</v>
      </c>
      <c r="P5099" t="n">
        <v>0</v>
      </c>
      <c r="Q5099" t="n">
        <v>0</v>
      </c>
      <c r="R5099" s="2" t="inlineStr"/>
    </row>
    <row r="5100" ht="15" customHeight="1">
      <c r="A5100" t="inlineStr">
        <is>
          <t>A 4150-2023</t>
        </is>
      </c>
      <c r="B5100" s="1" t="n">
        <v>44953</v>
      </c>
      <c r="C5100" s="1" t="n">
        <v>45210</v>
      </c>
      <c r="D5100" t="inlineStr">
        <is>
          <t>DALARNAS LÄN</t>
        </is>
      </c>
      <c r="E5100" t="inlineStr">
        <is>
          <t>RÄTTVIK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4205-2023</t>
        </is>
      </c>
      <c r="B5101" s="1" t="n">
        <v>44953</v>
      </c>
      <c r="C5101" s="1" t="n">
        <v>45210</v>
      </c>
      <c r="D5101" t="inlineStr">
        <is>
          <t>DALARNAS LÄN</t>
        </is>
      </c>
      <c r="E5101" t="inlineStr">
        <is>
          <t>MORA</t>
        </is>
      </c>
      <c r="G5101" t="n">
        <v>26.2</v>
      </c>
      <c r="H5101" t="n">
        <v>0</v>
      </c>
      <c r="I5101" t="n">
        <v>0</v>
      </c>
      <c r="J5101" t="n">
        <v>0</v>
      </c>
      <c r="K5101" t="n">
        <v>0</v>
      </c>
      <c r="L5101" t="n">
        <v>0</v>
      </c>
      <c r="M5101" t="n">
        <v>0</v>
      </c>
      <c r="N5101" t="n">
        <v>0</v>
      </c>
      <c r="O5101" t="n">
        <v>0</v>
      </c>
      <c r="P5101" t="n">
        <v>0</v>
      </c>
      <c r="Q5101" t="n">
        <v>0</v>
      </c>
      <c r="R5101" s="2" t="inlineStr"/>
    </row>
    <row r="5102" ht="15" customHeight="1">
      <c r="A5102" t="inlineStr">
        <is>
          <t>A 4206-2023</t>
        </is>
      </c>
      <c r="B5102" s="1" t="n">
        <v>44953</v>
      </c>
      <c r="C5102" s="1" t="n">
        <v>45210</v>
      </c>
      <c r="D5102" t="inlineStr">
        <is>
          <t>DALARNAS LÄN</t>
        </is>
      </c>
      <c r="E5102" t="inlineStr">
        <is>
          <t>MORA</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4217-2023</t>
        </is>
      </c>
      <c r="B5103" s="1" t="n">
        <v>44953</v>
      </c>
      <c r="C5103" s="1" t="n">
        <v>45210</v>
      </c>
      <c r="D5103" t="inlineStr">
        <is>
          <t>DALARNAS LÄN</t>
        </is>
      </c>
      <c r="E5103" t="inlineStr">
        <is>
          <t>LEKSAND</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4208-2023</t>
        </is>
      </c>
      <c r="B5104" s="1" t="n">
        <v>44953</v>
      </c>
      <c r="C5104" s="1" t="n">
        <v>45210</v>
      </c>
      <c r="D5104" t="inlineStr">
        <is>
          <t>DALARNAS LÄN</t>
        </is>
      </c>
      <c r="E5104" t="inlineStr">
        <is>
          <t>MORA</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4209-2023</t>
        </is>
      </c>
      <c r="B5105" s="1" t="n">
        <v>44953</v>
      </c>
      <c r="C5105" s="1" t="n">
        <v>45210</v>
      </c>
      <c r="D5105" t="inlineStr">
        <is>
          <t>DALARNAS LÄN</t>
        </is>
      </c>
      <c r="E5105" t="inlineStr">
        <is>
          <t>MORA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4407-2023</t>
        </is>
      </c>
      <c r="B5106" s="1" t="n">
        <v>44956</v>
      </c>
      <c r="C5106" s="1" t="n">
        <v>45210</v>
      </c>
      <c r="D5106" t="inlineStr">
        <is>
          <t>DALARNAS LÄN</t>
        </is>
      </c>
      <c r="E5106" t="inlineStr">
        <is>
          <t>SÄTER</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5010-2023</t>
        </is>
      </c>
      <c r="B5107" s="1" t="n">
        <v>44956</v>
      </c>
      <c r="C5107" s="1" t="n">
        <v>45210</v>
      </c>
      <c r="D5107" t="inlineStr">
        <is>
          <t>DALARNAS LÄN</t>
        </is>
      </c>
      <c r="E5107" t="inlineStr">
        <is>
          <t>HEDEMORA</t>
        </is>
      </c>
      <c r="F5107" t="inlineStr">
        <is>
          <t>Bergvik skog väst AB</t>
        </is>
      </c>
      <c r="G5107" t="n">
        <v>5</v>
      </c>
      <c r="H5107" t="n">
        <v>0</v>
      </c>
      <c r="I5107" t="n">
        <v>0</v>
      </c>
      <c r="J5107" t="n">
        <v>0</v>
      </c>
      <c r="K5107" t="n">
        <v>0</v>
      </c>
      <c r="L5107" t="n">
        <v>0</v>
      </c>
      <c r="M5107" t="n">
        <v>0</v>
      </c>
      <c r="N5107" t="n">
        <v>0</v>
      </c>
      <c r="O5107" t="n">
        <v>0</v>
      </c>
      <c r="P5107" t="n">
        <v>0</v>
      </c>
      <c r="Q5107" t="n">
        <v>0</v>
      </c>
      <c r="R5107" s="2" t="inlineStr"/>
    </row>
    <row r="5108" ht="15" customHeight="1">
      <c r="A5108" t="inlineStr">
        <is>
          <t>A 4408-2023</t>
        </is>
      </c>
      <c r="B5108" s="1" t="n">
        <v>44956</v>
      </c>
      <c r="C5108" s="1" t="n">
        <v>45210</v>
      </c>
      <c r="D5108" t="inlineStr">
        <is>
          <t>DALARNAS LÄN</t>
        </is>
      </c>
      <c r="E5108" t="inlineStr">
        <is>
          <t>RÄTTVIK</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4506-2023</t>
        </is>
      </c>
      <c r="B5109" s="1" t="n">
        <v>44956</v>
      </c>
      <c r="C5109" s="1" t="n">
        <v>45210</v>
      </c>
      <c r="D5109" t="inlineStr">
        <is>
          <t>DALARNAS LÄN</t>
        </is>
      </c>
      <c r="E5109" t="inlineStr">
        <is>
          <t>MORA</t>
        </is>
      </c>
      <c r="G5109" t="n">
        <v>9.699999999999999</v>
      </c>
      <c r="H5109" t="n">
        <v>0</v>
      </c>
      <c r="I5109" t="n">
        <v>0</v>
      </c>
      <c r="J5109" t="n">
        <v>0</v>
      </c>
      <c r="K5109" t="n">
        <v>0</v>
      </c>
      <c r="L5109" t="n">
        <v>0</v>
      </c>
      <c r="M5109" t="n">
        <v>0</v>
      </c>
      <c r="N5109" t="n">
        <v>0</v>
      </c>
      <c r="O5109" t="n">
        <v>0</v>
      </c>
      <c r="P5109" t="n">
        <v>0</v>
      </c>
      <c r="Q5109" t="n">
        <v>0</v>
      </c>
      <c r="R5109" s="2" t="inlineStr"/>
    </row>
    <row r="5110" ht="15" customHeight="1">
      <c r="A5110" t="inlineStr">
        <is>
          <t>A 4572-2023</t>
        </is>
      </c>
      <c r="B5110" s="1" t="n">
        <v>44956</v>
      </c>
      <c r="C5110" s="1" t="n">
        <v>45210</v>
      </c>
      <c r="D5110" t="inlineStr">
        <is>
          <t>DALARNAS LÄN</t>
        </is>
      </c>
      <c r="E5110" t="inlineStr">
        <is>
          <t>SÄTER</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5309-2023</t>
        </is>
      </c>
      <c r="B5111" s="1" t="n">
        <v>44956</v>
      </c>
      <c r="C5111" s="1" t="n">
        <v>45210</v>
      </c>
      <c r="D5111" t="inlineStr">
        <is>
          <t>DALARNAS LÄN</t>
        </is>
      </c>
      <c r="E5111" t="inlineStr">
        <is>
          <t>MORA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5491-2023</t>
        </is>
      </c>
      <c r="B5112" s="1" t="n">
        <v>44957</v>
      </c>
      <c r="C5112" s="1" t="n">
        <v>45210</v>
      </c>
      <c r="D5112" t="inlineStr">
        <is>
          <t>DALARNAS LÄN</t>
        </is>
      </c>
      <c r="E5112" t="inlineStr">
        <is>
          <t>MORA</t>
        </is>
      </c>
      <c r="G5112" t="n">
        <v>3.5</v>
      </c>
      <c r="H5112" t="n">
        <v>0</v>
      </c>
      <c r="I5112" t="n">
        <v>0</v>
      </c>
      <c r="J5112" t="n">
        <v>0</v>
      </c>
      <c r="K5112" t="n">
        <v>0</v>
      </c>
      <c r="L5112" t="n">
        <v>0</v>
      </c>
      <c r="M5112" t="n">
        <v>0</v>
      </c>
      <c r="N5112" t="n">
        <v>0</v>
      </c>
      <c r="O5112" t="n">
        <v>0</v>
      </c>
      <c r="P5112" t="n">
        <v>0</v>
      </c>
      <c r="Q5112" t="n">
        <v>0</v>
      </c>
      <c r="R5112" s="2" t="inlineStr"/>
    </row>
    <row r="5113" ht="15" customHeight="1">
      <c r="A5113" t="inlineStr">
        <is>
          <t>A 5486-2023</t>
        </is>
      </c>
      <c r="B5113" s="1" t="n">
        <v>44957</v>
      </c>
      <c r="C5113" s="1" t="n">
        <v>45210</v>
      </c>
      <c r="D5113" t="inlineStr">
        <is>
          <t>DALARNAS LÄN</t>
        </is>
      </c>
      <c r="E5113" t="inlineStr">
        <is>
          <t>MORA</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5493-2023</t>
        </is>
      </c>
      <c r="B5114" s="1" t="n">
        <v>44957</v>
      </c>
      <c r="C5114" s="1" t="n">
        <v>45210</v>
      </c>
      <c r="D5114" t="inlineStr">
        <is>
          <t>DALARNAS LÄN</t>
        </is>
      </c>
      <c r="E5114" t="inlineStr">
        <is>
          <t>MORA</t>
        </is>
      </c>
      <c r="F5114" t="inlineStr">
        <is>
          <t>Allmännings- och besparingsskogar</t>
        </is>
      </c>
      <c r="G5114" t="n">
        <v>14.9</v>
      </c>
      <c r="H5114" t="n">
        <v>0</v>
      </c>
      <c r="I5114" t="n">
        <v>0</v>
      </c>
      <c r="J5114" t="n">
        <v>0</v>
      </c>
      <c r="K5114" t="n">
        <v>0</v>
      </c>
      <c r="L5114" t="n">
        <v>0</v>
      </c>
      <c r="M5114" t="n">
        <v>0</v>
      </c>
      <c r="N5114" t="n">
        <v>0</v>
      </c>
      <c r="O5114" t="n">
        <v>0</v>
      </c>
      <c r="P5114" t="n">
        <v>0</v>
      </c>
      <c r="Q5114" t="n">
        <v>0</v>
      </c>
      <c r="R5114" s="2" t="inlineStr"/>
    </row>
    <row r="5115" ht="15" customHeight="1">
      <c r="A5115" t="inlineStr">
        <is>
          <t>A 4680-2023</t>
        </is>
      </c>
      <c r="B5115" s="1" t="n">
        <v>44957</v>
      </c>
      <c r="C5115" s="1" t="n">
        <v>45210</v>
      </c>
      <c r="D5115" t="inlineStr">
        <is>
          <t>DALARNAS LÄN</t>
        </is>
      </c>
      <c r="E5115" t="inlineStr">
        <is>
          <t>VANSBRO</t>
        </is>
      </c>
      <c r="F5115" t="inlineStr">
        <is>
          <t>Bergvik skog öst AB</t>
        </is>
      </c>
      <c r="G5115" t="n">
        <v>3.6</v>
      </c>
      <c r="H5115" t="n">
        <v>0</v>
      </c>
      <c r="I5115" t="n">
        <v>0</v>
      </c>
      <c r="J5115" t="n">
        <v>0</v>
      </c>
      <c r="K5115" t="n">
        <v>0</v>
      </c>
      <c r="L5115" t="n">
        <v>0</v>
      </c>
      <c r="M5115" t="n">
        <v>0</v>
      </c>
      <c r="N5115" t="n">
        <v>0</v>
      </c>
      <c r="O5115" t="n">
        <v>0</v>
      </c>
      <c r="P5115" t="n">
        <v>0</v>
      </c>
      <c r="Q5115" t="n">
        <v>0</v>
      </c>
      <c r="R5115" s="2" t="inlineStr"/>
    </row>
    <row r="5116" ht="15" customHeight="1">
      <c r="A5116" t="inlineStr">
        <is>
          <t>A 4811-2023</t>
        </is>
      </c>
      <c r="B5116" s="1" t="n">
        <v>44957</v>
      </c>
      <c r="C5116" s="1" t="n">
        <v>45210</v>
      </c>
      <c r="D5116" t="inlineStr">
        <is>
          <t>DALARNAS LÄN</t>
        </is>
      </c>
      <c r="E5116" t="inlineStr">
        <is>
          <t>MALUNG-SÄLEN</t>
        </is>
      </c>
      <c r="G5116" t="n">
        <v>5.3</v>
      </c>
      <c r="H5116" t="n">
        <v>0</v>
      </c>
      <c r="I5116" t="n">
        <v>0</v>
      </c>
      <c r="J5116" t="n">
        <v>0</v>
      </c>
      <c r="K5116" t="n">
        <v>0</v>
      </c>
      <c r="L5116" t="n">
        <v>0</v>
      </c>
      <c r="M5116" t="n">
        <v>0</v>
      </c>
      <c r="N5116" t="n">
        <v>0</v>
      </c>
      <c r="O5116" t="n">
        <v>0</v>
      </c>
      <c r="P5116" t="n">
        <v>0</v>
      </c>
      <c r="Q5116" t="n">
        <v>0</v>
      </c>
      <c r="R5116" s="2" t="inlineStr"/>
    </row>
    <row r="5117" ht="15" customHeight="1">
      <c r="A5117" t="inlineStr">
        <is>
          <t>A 4903-2023</t>
        </is>
      </c>
      <c r="B5117" s="1" t="n">
        <v>44958</v>
      </c>
      <c r="C5117" s="1" t="n">
        <v>45210</v>
      </c>
      <c r="D5117" t="inlineStr">
        <is>
          <t>DALARNAS LÄN</t>
        </is>
      </c>
      <c r="E5117" t="inlineStr">
        <is>
          <t>LUDVIKA</t>
        </is>
      </c>
      <c r="F5117" t="inlineStr">
        <is>
          <t>Bergvik skog väst AB</t>
        </is>
      </c>
      <c r="G5117" t="n">
        <v>2.5</v>
      </c>
      <c r="H5117" t="n">
        <v>0</v>
      </c>
      <c r="I5117" t="n">
        <v>0</v>
      </c>
      <c r="J5117" t="n">
        <v>0</v>
      </c>
      <c r="K5117" t="n">
        <v>0</v>
      </c>
      <c r="L5117" t="n">
        <v>0</v>
      </c>
      <c r="M5117" t="n">
        <v>0</v>
      </c>
      <c r="N5117" t="n">
        <v>0</v>
      </c>
      <c r="O5117" t="n">
        <v>0</v>
      </c>
      <c r="P5117" t="n">
        <v>0</v>
      </c>
      <c r="Q5117" t="n">
        <v>0</v>
      </c>
      <c r="R5117" s="2" t="inlineStr"/>
    </row>
    <row r="5118" ht="15" customHeight="1">
      <c r="A5118" t="inlineStr">
        <is>
          <t>A 4986-2023</t>
        </is>
      </c>
      <c r="B5118" s="1" t="n">
        <v>44958</v>
      </c>
      <c r="C5118" s="1" t="n">
        <v>45210</v>
      </c>
      <c r="D5118" t="inlineStr">
        <is>
          <t>DALARNAS LÄN</t>
        </is>
      </c>
      <c r="E5118" t="inlineStr">
        <is>
          <t>GAGNEF</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5028-2023</t>
        </is>
      </c>
      <c r="B5119" s="1" t="n">
        <v>44958</v>
      </c>
      <c r="C5119" s="1" t="n">
        <v>45210</v>
      </c>
      <c r="D5119" t="inlineStr">
        <is>
          <t>DALARNAS LÄN</t>
        </is>
      </c>
      <c r="E5119" t="inlineStr">
        <is>
          <t>MORA</t>
        </is>
      </c>
      <c r="G5119" t="n">
        <v>0.5</v>
      </c>
      <c r="H5119" t="n">
        <v>0</v>
      </c>
      <c r="I5119" t="n">
        <v>0</v>
      </c>
      <c r="J5119" t="n">
        <v>0</v>
      </c>
      <c r="K5119" t="n">
        <v>0</v>
      </c>
      <c r="L5119" t="n">
        <v>0</v>
      </c>
      <c r="M5119" t="n">
        <v>0</v>
      </c>
      <c r="N5119" t="n">
        <v>0</v>
      </c>
      <c r="O5119" t="n">
        <v>0</v>
      </c>
      <c r="P5119" t="n">
        <v>0</v>
      </c>
      <c r="Q5119" t="n">
        <v>0</v>
      </c>
      <c r="R5119" s="2" t="inlineStr"/>
    </row>
    <row r="5120" ht="15" customHeight="1">
      <c r="A5120" t="inlineStr">
        <is>
          <t>A 5108-2023</t>
        </is>
      </c>
      <c r="B5120" s="1" t="n">
        <v>44958</v>
      </c>
      <c r="C5120" s="1" t="n">
        <v>45210</v>
      </c>
      <c r="D5120" t="inlineStr">
        <is>
          <t>DALARNAS LÄN</t>
        </is>
      </c>
      <c r="E5120" t="inlineStr">
        <is>
          <t>BORLÄNGE</t>
        </is>
      </c>
      <c r="F5120" t="inlineStr">
        <is>
          <t>Bergvik skog väst AB</t>
        </is>
      </c>
      <c r="G5120" t="n">
        <v>17.7</v>
      </c>
      <c r="H5120" t="n">
        <v>0</v>
      </c>
      <c r="I5120" t="n">
        <v>0</v>
      </c>
      <c r="J5120" t="n">
        <v>0</v>
      </c>
      <c r="K5120" t="n">
        <v>0</v>
      </c>
      <c r="L5120" t="n">
        <v>0</v>
      </c>
      <c r="M5120" t="n">
        <v>0</v>
      </c>
      <c r="N5120" t="n">
        <v>0</v>
      </c>
      <c r="O5120" t="n">
        <v>0</v>
      </c>
      <c r="P5120" t="n">
        <v>0</v>
      </c>
      <c r="Q5120" t="n">
        <v>0</v>
      </c>
      <c r="R5120" s="2" t="inlineStr"/>
    </row>
    <row r="5121" ht="15" customHeight="1">
      <c r="A5121" t="inlineStr">
        <is>
          <t>A 5031-2023</t>
        </is>
      </c>
      <c r="B5121" s="1" t="n">
        <v>44958</v>
      </c>
      <c r="C5121" s="1" t="n">
        <v>45210</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6079-2023</t>
        </is>
      </c>
      <c r="B5122" s="1" t="n">
        <v>44959</v>
      </c>
      <c r="C5122" s="1" t="n">
        <v>45210</v>
      </c>
      <c r="D5122" t="inlineStr">
        <is>
          <t>DALARNAS LÄN</t>
        </is>
      </c>
      <c r="E5122" t="inlineStr">
        <is>
          <t>LEKSAND</t>
        </is>
      </c>
      <c r="G5122" t="n">
        <v>4.1</v>
      </c>
      <c r="H5122" t="n">
        <v>0</v>
      </c>
      <c r="I5122" t="n">
        <v>0</v>
      </c>
      <c r="J5122" t="n">
        <v>0</v>
      </c>
      <c r="K5122" t="n">
        <v>0</v>
      </c>
      <c r="L5122" t="n">
        <v>0</v>
      </c>
      <c r="M5122" t="n">
        <v>0</v>
      </c>
      <c r="N5122" t="n">
        <v>0</v>
      </c>
      <c r="O5122" t="n">
        <v>0</v>
      </c>
      <c r="P5122" t="n">
        <v>0</v>
      </c>
      <c r="Q5122" t="n">
        <v>0</v>
      </c>
      <c r="R5122" s="2" t="inlineStr"/>
    </row>
    <row r="5123" ht="15" customHeight="1">
      <c r="A5123" t="inlineStr">
        <is>
          <t>A 6039-2023</t>
        </is>
      </c>
      <c r="B5123" s="1" t="n">
        <v>44959</v>
      </c>
      <c r="C5123" s="1" t="n">
        <v>45210</v>
      </c>
      <c r="D5123" t="inlineStr">
        <is>
          <t>DALARNAS LÄN</t>
        </is>
      </c>
      <c r="E5123" t="inlineStr">
        <is>
          <t>LEKSAND</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5295-2023</t>
        </is>
      </c>
      <c r="B5124" s="1" t="n">
        <v>44959</v>
      </c>
      <c r="C5124" s="1" t="n">
        <v>45210</v>
      </c>
      <c r="D5124" t="inlineStr">
        <is>
          <t>DALARNAS LÄN</t>
        </is>
      </c>
      <c r="E5124" t="inlineStr">
        <is>
          <t>VANSBRO</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6050-2023</t>
        </is>
      </c>
      <c r="B5125" s="1" t="n">
        <v>44959</v>
      </c>
      <c r="C5125" s="1" t="n">
        <v>45210</v>
      </c>
      <c r="D5125" t="inlineStr">
        <is>
          <t>DALARNAS LÄN</t>
        </is>
      </c>
      <c r="E5125" t="inlineStr">
        <is>
          <t>LEKSAND</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6057-2023</t>
        </is>
      </c>
      <c r="B5126" s="1" t="n">
        <v>44959</v>
      </c>
      <c r="C5126" s="1" t="n">
        <v>45210</v>
      </c>
      <c r="D5126" t="inlineStr">
        <is>
          <t>DALARNAS LÄN</t>
        </is>
      </c>
      <c r="E5126" t="inlineStr">
        <is>
          <t>LEKSAND</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6593-2023</t>
        </is>
      </c>
      <c r="B5127" s="1" t="n">
        <v>44960</v>
      </c>
      <c r="C5127" s="1" t="n">
        <v>45210</v>
      </c>
      <c r="D5127" t="inlineStr">
        <is>
          <t>DALARNAS LÄN</t>
        </is>
      </c>
      <c r="E5127" t="inlineStr">
        <is>
          <t>LUDVIKA</t>
        </is>
      </c>
      <c r="G5127" t="n">
        <v>3.8</v>
      </c>
      <c r="H5127" t="n">
        <v>0</v>
      </c>
      <c r="I5127" t="n">
        <v>0</v>
      </c>
      <c r="J5127" t="n">
        <v>0</v>
      </c>
      <c r="K5127" t="n">
        <v>0</v>
      </c>
      <c r="L5127" t="n">
        <v>0</v>
      </c>
      <c r="M5127" t="n">
        <v>0</v>
      </c>
      <c r="N5127" t="n">
        <v>0</v>
      </c>
      <c r="O5127" t="n">
        <v>0</v>
      </c>
      <c r="P5127" t="n">
        <v>0</v>
      </c>
      <c r="Q5127" t="n">
        <v>0</v>
      </c>
      <c r="R5127" s="2" t="inlineStr"/>
    </row>
    <row r="5128" ht="15" customHeight="1">
      <c r="A5128" t="inlineStr">
        <is>
          <t>A 5496-2023</t>
        </is>
      </c>
      <c r="B5128" s="1" t="n">
        <v>44960</v>
      </c>
      <c r="C5128" s="1" t="n">
        <v>45210</v>
      </c>
      <c r="D5128" t="inlineStr">
        <is>
          <t>DALARNAS LÄN</t>
        </is>
      </c>
      <c r="E5128" t="inlineStr">
        <is>
          <t>FALUN</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5646-2023</t>
        </is>
      </c>
      <c r="B5129" s="1" t="n">
        <v>44960</v>
      </c>
      <c r="C5129" s="1" t="n">
        <v>45210</v>
      </c>
      <c r="D5129" t="inlineStr">
        <is>
          <t>DALARNAS LÄN</t>
        </is>
      </c>
      <c r="E5129" t="inlineStr">
        <is>
          <t>SÄTER</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6579-2023</t>
        </is>
      </c>
      <c r="B5130" s="1" t="n">
        <v>44960</v>
      </c>
      <c r="C5130" s="1" t="n">
        <v>45210</v>
      </c>
      <c r="D5130" t="inlineStr">
        <is>
          <t>DALARNAS LÄN</t>
        </is>
      </c>
      <c r="E5130" t="inlineStr">
        <is>
          <t>LUDVIKA</t>
        </is>
      </c>
      <c r="G5130" t="n">
        <v>3.4</v>
      </c>
      <c r="H5130" t="n">
        <v>0</v>
      </c>
      <c r="I5130" t="n">
        <v>0</v>
      </c>
      <c r="J5130" t="n">
        <v>0</v>
      </c>
      <c r="K5130" t="n">
        <v>0</v>
      </c>
      <c r="L5130" t="n">
        <v>0</v>
      </c>
      <c r="M5130" t="n">
        <v>0</v>
      </c>
      <c r="N5130" t="n">
        <v>0</v>
      </c>
      <c r="O5130" t="n">
        <v>0</v>
      </c>
      <c r="P5130" t="n">
        <v>0</v>
      </c>
      <c r="Q5130" t="n">
        <v>0</v>
      </c>
      <c r="R5130" s="2" t="inlineStr"/>
    </row>
    <row r="5131" ht="15" customHeight="1">
      <c r="A5131" t="inlineStr">
        <is>
          <t>A 5476-2023</t>
        </is>
      </c>
      <c r="B5131" s="1" t="n">
        <v>44960</v>
      </c>
      <c r="C5131" s="1" t="n">
        <v>45210</v>
      </c>
      <c r="D5131" t="inlineStr">
        <is>
          <t>DALARNAS LÄN</t>
        </is>
      </c>
      <c r="E5131" t="inlineStr">
        <is>
          <t>ÄLVDALEN</t>
        </is>
      </c>
      <c r="F5131" t="inlineStr">
        <is>
          <t>Allmännings- och besparingsskogar</t>
        </is>
      </c>
      <c r="G5131" t="n">
        <v>2.2</v>
      </c>
      <c r="H5131" t="n">
        <v>0</v>
      </c>
      <c r="I5131" t="n">
        <v>0</v>
      </c>
      <c r="J5131" t="n">
        <v>0</v>
      </c>
      <c r="K5131" t="n">
        <v>0</v>
      </c>
      <c r="L5131" t="n">
        <v>0</v>
      </c>
      <c r="M5131" t="n">
        <v>0</v>
      </c>
      <c r="N5131" t="n">
        <v>0</v>
      </c>
      <c r="O5131" t="n">
        <v>0</v>
      </c>
      <c r="P5131" t="n">
        <v>0</v>
      </c>
      <c r="Q5131" t="n">
        <v>0</v>
      </c>
      <c r="R5131" s="2" t="inlineStr"/>
    </row>
    <row r="5132" ht="15" customHeight="1">
      <c r="A5132" t="inlineStr">
        <is>
          <t>A 5599-2023</t>
        </is>
      </c>
      <c r="B5132" s="1" t="n">
        <v>44960</v>
      </c>
      <c r="C5132" s="1" t="n">
        <v>45210</v>
      </c>
      <c r="D5132" t="inlineStr">
        <is>
          <t>DALARNAS LÄN</t>
        </is>
      </c>
      <c r="E5132" t="inlineStr">
        <is>
          <t>LUDVIKA</t>
        </is>
      </c>
      <c r="F5132" t="inlineStr">
        <is>
          <t>Bergvik skog väst AB</t>
        </is>
      </c>
      <c r="G5132" t="n">
        <v>3.5</v>
      </c>
      <c r="H5132" t="n">
        <v>0</v>
      </c>
      <c r="I5132" t="n">
        <v>0</v>
      </c>
      <c r="J5132" t="n">
        <v>0</v>
      </c>
      <c r="K5132" t="n">
        <v>0</v>
      </c>
      <c r="L5132" t="n">
        <v>0</v>
      </c>
      <c r="M5132" t="n">
        <v>0</v>
      </c>
      <c r="N5132" t="n">
        <v>0</v>
      </c>
      <c r="O5132" t="n">
        <v>0</v>
      </c>
      <c r="P5132" t="n">
        <v>0</v>
      </c>
      <c r="Q5132" t="n">
        <v>0</v>
      </c>
      <c r="R5132" s="2" t="inlineStr"/>
    </row>
    <row r="5133" ht="15" customHeight="1">
      <c r="A5133" t="inlineStr">
        <is>
          <t>A 5477-2023</t>
        </is>
      </c>
      <c r="B5133" s="1" t="n">
        <v>44960</v>
      </c>
      <c r="C5133" s="1" t="n">
        <v>45210</v>
      </c>
      <c r="D5133" t="inlineStr">
        <is>
          <t>DALARNAS LÄN</t>
        </is>
      </c>
      <c r="E5133" t="inlineStr">
        <is>
          <t>VANSBRO</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5680-2023</t>
        </is>
      </c>
      <c r="B5134" s="1" t="n">
        <v>44960</v>
      </c>
      <c r="C5134" s="1" t="n">
        <v>45210</v>
      </c>
      <c r="D5134" t="inlineStr">
        <is>
          <t>DALARNAS LÄN</t>
        </is>
      </c>
      <c r="E5134" t="inlineStr">
        <is>
          <t>FALUN</t>
        </is>
      </c>
      <c r="G5134" t="n">
        <v>2.3</v>
      </c>
      <c r="H5134" t="n">
        <v>0</v>
      </c>
      <c r="I5134" t="n">
        <v>0</v>
      </c>
      <c r="J5134" t="n">
        <v>0</v>
      </c>
      <c r="K5134" t="n">
        <v>0</v>
      </c>
      <c r="L5134" t="n">
        <v>0</v>
      </c>
      <c r="M5134" t="n">
        <v>0</v>
      </c>
      <c r="N5134" t="n">
        <v>0</v>
      </c>
      <c r="O5134" t="n">
        <v>0</v>
      </c>
      <c r="P5134" t="n">
        <v>0</v>
      </c>
      <c r="Q5134" t="n">
        <v>0</v>
      </c>
      <c r="R5134" s="2" t="inlineStr"/>
    </row>
    <row r="5135" ht="15" customHeight="1">
      <c r="A5135" t="inlineStr">
        <is>
          <t>A 6576-2023</t>
        </is>
      </c>
      <c r="B5135" s="1" t="n">
        <v>44960</v>
      </c>
      <c r="C5135" s="1" t="n">
        <v>45210</v>
      </c>
      <c r="D5135" t="inlineStr">
        <is>
          <t>DALARNAS LÄN</t>
        </is>
      </c>
      <c r="E5135" t="inlineStr">
        <is>
          <t>LUDVIKA</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6556-2023</t>
        </is>
      </c>
      <c r="B5136" s="1" t="n">
        <v>44961</v>
      </c>
      <c r="C5136" s="1" t="n">
        <v>45210</v>
      </c>
      <c r="D5136" t="inlineStr">
        <is>
          <t>DALARNAS LÄN</t>
        </is>
      </c>
      <c r="E5136" t="inlineStr">
        <is>
          <t>HEDEMORA</t>
        </is>
      </c>
      <c r="G5136" t="n">
        <v>3.7</v>
      </c>
      <c r="H5136" t="n">
        <v>0</v>
      </c>
      <c r="I5136" t="n">
        <v>0</v>
      </c>
      <c r="J5136" t="n">
        <v>0</v>
      </c>
      <c r="K5136" t="n">
        <v>0</v>
      </c>
      <c r="L5136" t="n">
        <v>0</v>
      </c>
      <c r="M5136" t="n">
        <v>0</v>
      </c>
      <c r="N5136" t="n">
        <v>0</v>
      </c>
      <c r="O5136" t="n">
        <v>0</v>
      </c>
      <c r="P5136" t="n">
        <v>0</v>
      </c>
      <c r="Q5136" t="n">
        <v>0</v>
      </c>
      <c r="R5136" s="2" t="inlineStr"/>
    </row>
    <row r="5137" ht="15" customHeight="1">
      <c r="A5137" t="inlineStr">
        <is>
          <t>A 5738-2023</t>
        </is>
      </c>
      <c r="B5137" s="1" t="n">
        <v>44962</v>
      </c>
      <c r="C5137" s="1" t="n">
        <v>45210</v>
      </c>
      <c r="D5137" t="inlineStr">
        <is>
          <t>DALARNAS LÄN</t>
        </is>
      </c>
      <c r="E5137" t="inlineStr">
        <is>
          <t>LEKSAND</t>
        </is>
      </c>
      <c r="G5137" t="n">
        <v>0.2</v>
      </c>
      <c r="H5137" t="n">
        <v>0</v>
      </c>
      <c r="I5137" t="n">
        <v>0</v>
      </c>
      <c r="J5137" t="n">
        <v>0</v>
      </c>
      <c r="K5137" t="n">
        <v>0</v>
      </c>
      <c r="L5137" t="n">
        <v>0</v>
      </c>
      <c r="M5137" t="n">
        <v>0</v>
      </c>
      <c r="N5137" t="n">
        <v>0</v>
      </c>
      <c r="O5137" t="n">
        <v>0</v>
      </c>
      <c r="P5137" t="n">
        <v>0</v>
      </c>
      <c r="Q5137" t="n">
        <v>0</v>
      </c>
      <c r="R5137" s="2" t="inlineStr"/>
    </row>
    <row r="5138" ht="15" customHeight="1">
      <c r="A5138" t="inlineStr">
        <is>
          <t>A 5900-2023</t>
        </is>
      </c>
      <c r="B5138" s="1" t="n">
        <v>44963</v>
      </c>
      <c r="C5138" s="1" t="n">
        <v>45210</v>
      </c>
      <c r="D5138" t="inlineStr">
        <is>
          <t>DALARNAS LÄN</t>
        </is>
      </c>
      <c r="E5138" t="inlineStr">
        <is>
          <t>MALUNG-SÄLEN</t>
        </is>
      </c>
      <c r="G5138" t="n">
        <v>1.9</v>
      </c>
      <c r="H5138" t="n">
        <v>0</v>
      </c>
      <c r="I5138" t="n">
        <v>0</v>
      </c>
      <c r="J5138" t="n">
        <v>0</v>
      </c>
      <c r="K5138" t="n">
        <v>0</v>
      </c>
      <c r="L5138" t="n">
        <v>0</v>
      </c>
      <c r="M5138" t="n">
        <v>0</v>
      </c>
      <c r="N5138" t="n">
        <v>0</v>
      </c>
      <c r="O5138" t="n">
        <v>0</v>
      </c>
      <c r="P5138" t="n">
        <v>0</v>
      </c>
      <c r="Q5138" t="n">
        <v>0</v>
      </c>
      <c r="R5138" s="2" t="inlineStr"/>
    </row>
    <row r="5139" ht="15" customHeight="1">
      <c r="A5139" t="inlineStr">
        <is>
          <t>A 6262-2023</t>
        </is>
      </c>
      <c r="B5139" s="1" t="n">
        <v>44963</v>
      </c>
      <c r="C5139" s="1" t="n">
        <v>45210</v>
      </c>
      <c r="D5139" t="inlineStr">
        <is>
          <t>DALARNAS LÄN</t>
        </is>
      </c>
      <c r="E5139" t="inlineStr">
        <is>
          <t>AVESTA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6675-2023</t>
        </is>
      </c>
      <c r="B5140" s="1" t="n">
        <v>44963</v>
      </c>
      <c r="C5140" s="1" t="n">
        <v>45210</v>
      </c>
      <c r="D5140" t="inlineStr">
        <is>
          <t>DALARNAS LÄN</t>
        </is>
      </c>
      <c r="E5140" t="inlineStr">
        <is>
          <t>FALUN</t>
        </is>
      </c>
      <c r="F5140" t="inlineStr">
        <is>
          <t>Övriga statliga verk och myndigheter</t>
        </is>
      </c>
      <c r="G5140" t="n">
        <v>4.7</v>
      </c>
      <c r="H5140" t="n">
        <v>0</v>
      </c>
      <c r="I5140" t="n">
        <v>0</v>
      </c>
      <c r="J5140" t="n">
        <v>0</v>
      </c>
      <c r="K5140" t="n">
        <v>0</v>
      </c>
      <c r="L5140" t="n">
        <v>0</v>
      </c>
      <c r="M5140" t="n">
        <v>0</v>
      </c>
      <c r="N5140" t="n">
        <v>0</v>
      </c>
      <c r="O5140" t="n">
        <v>0</v>
      </c>
      <c r="P5140" t="n">
        <v>0</v>
      </c>
      <c r="Q5140" t="n">
        <v>0</v>
      </c>
      <c r="R5140" s="2" t="inlineStr"/>
    </row>
    <row r="5141" ht="15" customHeight="1">
      <c r="A5141" t="inlineStr">
        <is>
          <t>A 5870-2023</t>
        </is>
      </c>
      <c r="B5141" s="1" t="n">
        <v>44963</v>
      </c>
      <c r="C5141" s="1" t="n">
        <v>45210</v>
      </c>
      <c r="D5141" t="inlineStr">
        <is>
          <t>DALARNAS LÄN</t>
        </is>
      </c>
      <c r="E5141" t="inlineStr">
        <is>
          <t>MALUNG-SÄLEN</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5858-2023</t>
        </is>
      </c>
      <c r="B5142" s="1" t="n">
        <v>44963</v>
      </c>
      <c r="C5142" s="1" t="n">
        <v>45210</v>
      </c>
      <c r="D5142" t="inlineStr">
        <is>
          <t>DALARNAS LÄN</t>
        </is>
      </c>
      <c r="E5142" t="inlineStr">
        <is>
          <t>MALUNG-SÄLEN</t>
        </is>
      </c>
      <c r="G5142" t="n">
        <v>11.7</v>
      </c>
      <c r="H5142" t="n">
        <v>0</v>
      </c>
      <c r="I5142" t="n">
        <v>0</v>
      </c>
      <c r="J5142" t="n">
        <v>0</v>
      </c>
      <c r="K5142" t="n">
        <v>0</v>
      </c>
      <c r="L5142" t="n">
        <v>0</v>
      </c>
      <c r="M5142" t="n">
        <v>0</v>
      </c>
      <c r="N5142" t="n">
        <v>0</v>
      </c>
      <c r="O5142" t="n">
        <v>0</v>
      </c>
      <c r="P5142" t="n">
        <v>0</v>
      </c>
      <c r="Q5142" t="n">
        <v>0</v>
      </c>
      <c r="R5142" s="2" t="inlineStr"/>
    </row>
    <row r="5143" ht="15" customHeight="1">
      <c r="A5143" t="inlineStr">
        <is>
          <t>A 6223-2023</t>
        </is>
      </c>
      <c r="B5143" s="1" t="n">
        <v>44964</v>
      </c>
      <c r="C5143" s="1" t="n">
        <v>45210</v>
      </c>
      <c r="D5143" t="inlineStr">
        <is>
          <t>DALARNAS LÄN</t>
        </is>
      </c>
      <c r="E5143" t="inlineStr">
        <is>
          <t>FALUN</t>
        </is>
      </c>
      <c r="G5143" t="n">
        <v>6</v>
      </c>
      <c r="H5143" t="n">
        <v>0</v>
      </c>
      <c r="I5143" t="n">
        <v>0</v>
      </c>
      <c r="J5143" t="n">
        <v>0</v>
      </c>
      <c r="K5143" t="n">
        <v>0</v>
      </c>
      <c r="L5143" t="n">
        <v>0</v>
      </c>
      <c r="M5143" t="n">
        <v>0</v>
      </c>
      <c r="N5143" t="n">
        <v>0</v>
      </c>
      <c r="O5143" t="n">
        <v>0</v>
      </c>
      <c r="P5143" t="n">
        <v>0</v>
      </c>
      <c r="Q5143" t="n">
        <v>0</v>
      </c>
      <c r="R5143" s="2" t="inlineStr"/>
    </row>
    <row r="5144" ht="15" customHeight="1">
      <c r="A5144" t="inlineStr">
        <is>
          <t>A 5981-2023</t>
        </is>
      </c>
      <c r="B5144" s="1" t="n">
        <v>44964</v>
      </c>
      <c r="C5144" s="1" t="n">
        <v>45210</v>
      </c>
      <c r="D5144" t="inlineStr">
        <is>
          <t>DALARNAS LÄN</t>
        </is>
      </c>
      <c r="E5144" t="inlineStr">
        <is>
          <t>SÄTER</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6086-2023</t>
        </is>
      </c>
      <c r="B5145" s="1" t="n">
        <v>44964</v>
      </c>
      <c r="C5145" s="1" t="n">
        <v>45210</v>
      </c>
      <c r="D5145" t="inlineStr">
        <is>
          <t>DALARNAS LÄN</t>
        </is>
      </c>
      <c r="E5145" t="inlineStr">
        <is>
          <t>RÄTTVIK</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6199-2023</t>
        </is>
      </c>
      <c r="B5146" s="1" t="n">
        <v>44964</v>
      </c>
      <c r="C5146" s="1" t="n">
        <v>45210</v>
      </c>
      <c r="D5146" t="inlineStr">
        <is>
          <t>DALARNAS LÄN</t>
        </is>
      </c>
      <c r="E5146" t="inlineStr">
        <is>
          <t>RÄTTVIK</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6010-2023</t>
        </is>
      </c>
      <c r="B5147" s="1" t="n">
        <v>44964</v>
      </c>
      <c r="C5147" s="1" t="n">
        <v>45210</v>
      </c>
      <c r="D5147" t="inlineStr">
        <is>
          <t>DALARNAS LÄN</t>
        </is>
      </c>
      <c r="E5147" t="inlineStr">
        <is>
          <t>LUDVIKA</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6168-2023</t>
        </is>
      </c>
      <c r="B5148" s="1" t="n">
        <v>44964</v>
      </c>
      <c r="C5148" s="1" t="n">
        <v>45210</v>
      </c>
      <c r="D5148" t="inlineStr">
        <is>
          <t>DALARNAS LÄN</t>
        </is>
      </c>
      <c r="E5148" t="inlineStr">
        <is>
          <t>MORA</t>
        </is>
      </c>
      <c r="G5148" t="n">
        <v>12.7</v>
      </c>
      <c r="H5148" t="n">
        <v>0</v>
      </c>
      <c r="I5148" t="n">
        <v>0</v>
      </c>
      <c r="J5148" t="n">
        <v>0</v>
      </c>
      <c r="K5148" t="n">
        <v>0</v>
      </c>
      <c r="L5148" t="n">
        <v>0</v>
      </c>
      <c r="M5148" t="n">
        <v>0</v>
      </c>
      <c r="N5148" t="n">
        <v>0</v>
      </c>
      <c r="O5148" t="n">
        <v>0</v>
      </c>
      <c r="P5148" t="n">
        <v>0</v>
      </c>
      <c r="Q5148" t="n">
        <v>0</v>
      </c>
      <c r="R5148" s="2" t="inlineStr"/>
    </row>
    <row r="5149" ht="15" customHeight="1">
      <c r="A5149" t="inlineStr">
        <is>
          <t>A 6047-2023</t>
        </is>
      </c>
      <c r="B5149" s="1" t="n">
        <v>44964</v>
      </c>
      <c r="C5149" s="1" t="n">
        <v>45210</v>
      </c>
      <c r="D5149" t="inlineStr">
        <is>
          <t>DALARNAS LÄN</t>
        </is>
      </c>
      <c r="E5149" t="inlineStr">
        <is>
          <t>ORSA</t>
        </is>
      </c>
      <c r="F5149" t="inlineStr">
        <is>
          <t>Bergvik skog öst AB</t>
        </is>
      </c>
      <c r="G5149" t="n">
        <v>0.2</v>
      </c>
      <c r="H5149" t="n">
        <v>0</v>
      </c>
      <c r="I5149" t="n">
        <v>0</v>
      </c>
      <c r="J5149" t="n">
        <v>0</v>
      </c>
      <c r="K5149" t="n">
        <v>0</v>
      </c>
      <c r="L5149" t="n">
        <v>0</v>
      </c>
      <c r="M5149" t="n">
        <v>0</v>
      </c>
      <c r="N5149" t="n">
        <v>0</v>
      </c>
      <c r="O5149" t="n">
        <v>0</v>
      </c>
      <c r="P5149" t="n">
        <v>0</v>
      </c>
      <c r="Q5149" t="n">
        <v>0</v>
      </c>
      <c r="R5149" s="2" t="inlineStr"/>
    </row>
    <row r="5150" ht="15" customHeight="1">
      <c r="A5150" t="inlineStr">
        <is>
          <t>A 6072-2023</t>
        </is>
      </c>
      <c r="B5150" s="1" t="n">
        <v>44964</v>
      </c>
      <c r="C5150" s="1" t="n">
        <v>45210</v>
      </c>
      <c r="D5150" t="inlineStr">
        <is>
          <t>DALARNAS LÄN</t>
        </is>
      </c>
      <c r="E5150" t="inlineStr">
        <is>
          <t>ÄLVDALEN</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6337-2023</t>
        </is>
      </c>
      <c r="B5151" s="1" t="n">
        <v>44965</v>
      </c>
      <c r="C5151" s="1" t="n">
        <v>45210</v>
      </c>
      <c r="D5151" t="inlineStr">
        <is>
          <t>DALARNAS LÄN</t>
        </is>
      </c>
      <c r="E5151" t="inlineStr">
        <is>
          <t>FALUN</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7188-2023</t>
        </is>
      </c>
      <c r="B5152" s="1" t="n">
        <v>44965</v>
      </c>
      <c r="C5152" s="1" t="n">
        <v>45210</v>
      </c>
      <c r="D5152" t="inlineStr">
        <is>
          <t>DALARNAS LÄN</t>
        </is>
      </c>
      <c r="E5152" t="inlineStr">
        <is>
          <t>SÄTER</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6317-2023</t>
        </is>
      </c>
      <c r="B5153" s="1" t="n">
        <v>44965</v>
      </c>
      <c r="C5153" s="1" t="n">
        <v>45210</v>
      </c>
      <c r="D5153" t="inlineStr">
        <is>
          <t>DALARNAS LÄN</t>
        </is>
      </c>
      <c r="E5153" t="inlineStr">
        <is>
          <t>FALUN</t>
        </is>
      </c>
      <c r="G5153" t="n">
        <v>1.4</v>
      </c>
      <c r="H5153" t="n">
        <v>0</v>
      </c>
      <c r="I5153" t="n">
        <v>0</v>
      </c>
      <c r="J5153" t="n">
        <v>0</v>
      </c>
      <c r="K5153" t="n">
        <v>0</v>
      </c>
      <c r="L5153" t="n">
        <v>0</v>
      </c>
      <c r="M5153" t="n">
        <v>0</v>
      </c>
      <c r="N5153" t="n">
        <v>0</v>
      </c>
      <c r="O5153" t="n">
        <v>0</v>
      </c>
      <c r="P5153" t="n">
        <v>0</v>
      </c>
      <c r="Q5153" t="n">
        <v>0</v>
      </c>
      <c r="R5153" s="2" t="inlineStr"/>
    </row>
    <row r="5154" ht="15" customHeight="1">
      <c r="A5154" t="inlineStr">
        <is>
          <t>A 6551-2023</t>
        </is>
      </c>
      <c r="B5154" s="1" t="n">
        <v>44966</v>
      </c>
      <c r="C5154" s="1" t="n">
        <v>45210</v>
      </c>
      <c r="D5154" t="inlineStr">
        <is>
          <t>DALARNAS LÄN</t>
        </is>
      </c>
      <c r="E5154" t="inlineStr">
        <is>
          <t>VANSBRO</t>
        </is>
      </c>
      <c r="G5154" t="n">
        <v>5.2</v>
      </c>
      <c r="H5154" t="n">
        <v>0</v>
      </c>
      <c r="I5154" t="n">
        <v>0</v>
      </c>
      <c r="J5154" t="n">
        <v>0</v>
      </c>
      <c r="K5154" t="n">
        <v>0</v>
      </c>
      <c r="L5154" t="n">
        <v>0</v>
      </c>
      <c r="M5154" t="n">
        <v>0</v>
      </c>
      <c r="N5154" t="n">
        <v>0</v>
      </c>
      <c r="O5154" t="n">
        <v>0</v>
      </c>
      <c r="P5154" t="n">
        <v>0</v>
      </c>
      <c r="Q5154" t="n">
        <v>0</v>
      </c>
      <c r="R5154" s="2" t="inlineStr"/>
    </row>
    <row r="5155" ht="15" customHeight="1">
      <c r="A5155" t="inlineStr">
        <is>
          <t>A 6521-2023</t>
        </is>
      </c>
      <c r="B5155" s="1" t="n">
        <v>44966</v>
      </c>
      <c r="C5155" s="1" t="n">
        <v>45210</v>
      </c>
      <c r="D5155" t="inlineStr">
        <is>
          <t>DALARNAS LÄN</t>
        </is>
      </c>
      <c r="E5155" t="inlineStr">
        <is>
          <t>AVESTA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7467-2023</t>
        </is>
      </c>
      <c r="B5156" s="1" t="n">
        <v>44966</v>
      </c>
      <c r="C5156" s="1" t="n">
        <v>45210</v>
      </c>
      <c r="D5156" t="inlineStr">
        <is>
          <t>DALARNAS LÄN</t>
        </is>
      </c>
      <c r="E5156" t="inlineStr">
        <is>
          <t>LEKSAND</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6534-2023</t>
        </is>
      </c>
      <c r="B5157" s="1" t="n">
        <v>44966</v>
      </c>
      <c r="C5157" s="1" t="n">
        <v>45210</v>
      </c>
      <c r="D5157" t="inlineStr">
        <is>
          <t>DALARNAS LÄN</t>
        </is>
      </c>
      <c r="E5157" t="inlineStr">
        <is>
          <t>VANSBRO</t>
        </is>
      </c>
      <c r="G5157" t="n">
        <v>4.4</v>
      </c>
      <c r="H5157" t="n">
        <v>0</v>
      </c>
      <c r="I5157" t="n">
        <v>0</v>
      </c>
      <c r="J5157" t="n">
        <v>0</v>
      </c>
      <c r="K5157" t="n">
        <v>0</v>
      </c>
      <c r="L5157" t="n">
        <v>0</v>
      </c>
      <c r="M5157" t="n">
        <v>0</v>
      </c>
      <c r="N5157" t="n">
        <v>0</v>
      </c>
      <c r="O5157" t="n">
        <v>0</v>
      </c>
      <c r="P5157" t="n">
        <v>0</v>
      </c>
      <c r="Q5157" t="n">
        <v>0</v>
      </c>
      <c r="R5157" s="2" t="inlineStr"/>
    </row>
    <row r="5158" ht="15" customHeight="1">
      <c r="A5158" t="inlineStr">
        <is>
          <t>A 7441-2023</t>
        </is>
      </c>
      <c r="B5158" s="1" t="n">
        <v>44966</v>
      </c>
      <c r="C5158" s="1" t="n">
        <v>45210</v>
      </c>
      <c r="D5158" t="inlineStr">
        <is>
          <t>DALARNAS LÄN</t>
        </is>
      </c>
      <c r="E5158" t="inlineStr">
        <is>
          <t>LEKSAND</t>
        </is>
      </c>
      <c r="G5158" t="n">
        <v>18</v>
      </c>
      <c r="H5158" t="n">
        <v>0</v>
      </c>
      <c r="I5158" t="n">
        <v>0</v>
      </c>
      <c r="J5158" t="n">
        <v>0</v>
      </c>
      <c r="K5158" t="n">
        <v>0</v>
      </c>
      <c r="L5158" t="n">
        <v>0</v>
      </c>
      <c r="M5158" t="n">
        <v>0</v>
      </c>
      <c r="N5158" t="n">
        <v>0</v>
      </c>
      <c r="O5158" t="n">
        <v>0</v>
      </c>
      <c r="P5158" t="n">
        <v>0</v>
      </c>
      <c r="Q5158" t="n">
        <v>0</v>
      </c>
      <c r="R5158" s="2" t="inlineStr"/>
    </row>
    <row r="5159" ht="15" customHeight="1">
      <c r="A5159" t="inlineStr">
        <is>
          <t>A 6720-2023</t>
        </is>
      </c>
      <c r="B5159" s="1" t="n">
        <v>44966</v>
      </c>
      <c r="C5159" s="1" t="n">
        <v>45210</v>
      </c>
      <c r="D5159" t="inlineStr">
        <is>
          <t>DALARNAS LÄN</t>
        </is>
      </c>
      <c r="E5159" t="inlineStr">
        <is>
          <t>SMEDJEBACKEN</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7613-2023</t>
        </is>
      </c>
      <c r="B5160" s="1" t="n">
        <v>44967</v>
      </c>
      <c r="C5160" s="1" t="n">
        <v>45210</v>
      </c>
      <c r="D5160" t="inlineStr">
        <is>
          <t>DALARNAS LÄN</t>
        </is>
      </c>
      <c r="E5160" t="inlineStr">
        <is>
          <t>MORA</t>
        </is>
      </c>
      <c r="G5160" t="n">
        <v>3.8</v>
      </c>
      <c r="H5160" t="n">
        <v>0</v>
      </c>
      <c r="I5160" t="n">
        <v>0</v>
      </c>
      <c r="J5160" t="n">
        <v>0</v>
      </c>
      <c r="K5160" t="n">
        <v>0</v>
      </c>
      <c r="L5160" t="n">
        <v>0</v>
      </c>
      <c r="M5160" t="n">
        <v>0</v>
      </c>
      <c r="N5160" t="n">
        <v>0</v>
      </c>
      <c r="O5160" t="n">
        <v>0</v>
      </c>
      <c r="P5160" t="n">
        <v>0</v>
      </c>
      <c r="Q5160" t="n">
        <v>0</v>
      </c>
      <c r="R5160" s="2" t="inlineStr"/>
    </row>
    <row r="5161" ht="15" customHeight="1">
      <c r="A5161" t="inlineStr">
        <is>
          <t>A 6806-2023</t>
        </is>
      </c>
      <c r="B5161" s="1" t="n">
        <v>44967</v>
      </c>
      <c r="C5161" s="1" t="n">
        <v>45210</v>
      </c>
      <c r="D5161" t="inlineStr">
        <is>
          <t>DALARNAS LÄN</t>
        </is>
      </c>
      <c r="E5161" t="inlineStr">
        <is>
          <t>HEDEMORA</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6971-2023</t>
        </is>
      </c>
      <c r="B5162" s="1" t="n">
        <v>44967</v>
      </c>
      <c r="C5162" s="1" t="n">
        <v>45210</v>
      </c>
      <c r="D5162" t="inlineStr">
        <is>
          <t>DALARNAS LÄN</t>
        </is>
      </c>
      <c r="E5162" t="inlineStr">
        <is>
          <t>AVESTA</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7550-2023</t>
        </is>
      </c>
      <c r="B5163" s="1" t="n">
        <v>44967</v>
      </c>
      <c r="C5163" s="1" t="n">
        <v>45210</v>
      </c>
      <c r="D5163" t="inlineStr">
        <is>
          <t>DALARNAS LÄN</t>
        </is>
      </c>
      <c r="E5163" t="inlineStr">
        <is>
          <t>RÄTTVIK</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7587-2023</t>
        </is>
      </c>
      <c r="B5164" s="1" t="n">
        <v>44967</v>
      </c>
      <c r="C5164" s="1" t="n">
        <v>45210</v>
      </c>
      <c r="D5164" t="inlineStr">
        <is>
          <t>DALARNAS LÄN</t>
        </is>
      </c>
      <c r="E5164" t="inlineStr">
        <is>
          <t>RÄTTVIK</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7552-2023</t>
        </is>
      </c>
      <c r="B5165" s="1" t="n">
        <v>44967</v>
      </c>
      <c r="C5165" s="1" t="n">
        <v>45210</v>
      </c>
      <c r="D5165" t="inlineStr">
        <is>
          <t>DALARNAS LÄN</t>
        </is>
      </c>
      <c r="E5165" t="inlineStr">
        <is>
          <t>RÄTTVIK</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7567-2023</t>
        </is>
      </c>
      <c r="B5166" s="1" t="n">
        <v>44967</v>
      </c>
      <c r="C5166" s="1" t="n">
        <v>45210</v>
      </c>
      <c r="D5166" t="inlineStr">
        <is>
          <t>DALARNAS LÄN</t>
        </is>
      </c>
      <c r="E5166" t="inlineStr">
        <is>
          <t>RÄTTVIK</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7137-2023</t>
        </is>
      </c>
      <c r="B5167" s="1" t="n">
        <v>44970</v>
      </c>
      <c r="C5167" s="1" t="n">
        <v>45210</v>
      </c>
      <c r="D5167" t="inlineStr">
        <is>
          <t>DALARNAS LÄN</t>
        </is>
      </c>
      <c r="E5167" t="inlineStr">
        <is>
          <t>MALUNG-SÄLEN</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7989-2023</t>
        </is>
      </c>
      <c r="B5168" s="1" t="n">
        <v>44970</v>
      </c>
      <c r="C5168" s="1" t="n">
        <v>45210</v>
      </c>
      <c r="D5168" t="inlineStr">
        <is>
          <t>DALARNAS LÄN</t>
        </is>
      </c>
      <c r="E5168" t="inlineStr">
        <is>
          <t>RÄTTVIK</t>
        </is>
      </c>
      <c r="G5168" t="n">
        <v>2.3</v>
      </c>
      <c r="H5168" t="n">
        <v>0</v>
      </c>
      <c r="I5168" t="n">
        <v>0</v>
      </c>
      <c r="J5168" t="n">
        <v>0</v>
      </c>
      <c r="K5168" t="n">
        <v>0</v>
      </c>
      <c r="L5168" t="n">
        <v>0</v>
      </c>
      <c r="M5168" t="n">
        <v>0</v>
      </c>
      <c r="N5168" t="n">
        <v>0</v>
      </c>
      <c r="O5168" t="n">
        <v>0</v>
      </c>
      <c r="P5168" t="n">
        <v>0</v>
      </c>
      <c r="Q5168" t="n">
        <v>0</v>
      </c>
      <c r="R5168" s="2" t="inlineStr"/>
    </row>
    <row r="5169" ht="15" customHeight="1">
      <c r="A5169" t="inlineStr">
        <is>
          <t>A 7135-2023</t>
        </is>
      </c>
      <c r="B5169" s="1" t="n">
        <v>44970</v>
      </c>
      <c r="C5169" s="1" t="n">
        <v>45210</v>
      </c>
      <c r="D5169" t="inlineStr">
        <is>
          <t>DALARNAS LÄN</t>
        </is>
      </c>
      <c r="E5169" t="inlineStr">
        <is>
          <t>VANSBRO</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7317-2023</t>
        </is>
      </c>
      <c r="B5170" s="1" t="n">
        <v>44970</v>
      </c>
      <c r="C5170" s="1" t="n">
        <v>45210</v>
      </c>
      <c r="D5170" t="inlineStr">
        <is>
          <t>DALARNAS LÄN</t>
        </is>
      </c>
      <c r="E5170" t="inlineStr">
        <is>
          <t>AVESTA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7420-2023</t>
        </is>
      </c>
      <c r="B5171" s="1" t="n">
        <v>44971</v>
      </c>
      <c r="C5171" s="1" t="n">
        <v>45210</v>
      </c>
      <c r="D5171" t="inlineStr">
        <is>
          <t>DALARNAS LÄN</t>
        </is>
      </c>
      <c r="E5171" t="inlineStr">
        <is>
          <t>SMEDJEBACKEN</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8170-2023</t>
        </is>
      </c>
      <c r="B5172" s="1" t="n">
        <v>44971</v>
      </c>
      <c r="C5172" s="1" t="n">
        <v>45210</v>
      </c>
      <c r="D5172" t="inlineStr">
        <is>
          <t>DALARNAS LÄN</t>
        </is>
      </c>
      <c r="E5172" t="inlineStr">
        <is>
          <t>LEKSAND</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7435-2023</t>
        </is>
      </c>
      <c r="B5173" s="1" t="n">
        <v>44971</v>
      </c>
      <c r="C5173" s="1" t="n">
        <v>45210</v>
      </c>
      <c r="D5173" t="inlineStr">
        <is>
          <t>DALARNAS LÄN</t>
        </is>
      </c>
      <c r="E5173" t="inlineStr">
        <is>
          <t>LUDVIKA</t>
        </is>
      </c>
      <c r="F5173" t="inlineStr">
        <is>
          <t>Naturvårdsverket</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7450-2023</t>
        </is>
      </c>
      <c r="B5174" s="1" t="n">
        <v>44971</v>
      </c>
      <c r="C5174" s="1" t="n">
        <v>45210</v>
      </c>
      <c r="D5174" t="inlineStr">
        <is>
          <t>DALARNAS LÄN</t>
        </is>
      </c>
      <c r="E5174" t="inlineStr">
        <is>
          <t>LEKSAND</t>
        </is>
      </c>
      <c r="G5174" t="n">
        <v>3</v>
      </c>
      <c r="H5174" t="n">
        <v>0</v>
      </c>
      <c r="I5174" t="n">
        <v>0</v>
      </c>
      <c r="J5174" t="n">
        <v>0</v>
      </c>
      <c r="K5174" t="n">
        <v>0</v>
      </c>
      <c r="L5174" t="n">
        <v>0</v>
      </c>
      <c r="M5174" t="n">
        <v>0</v>
      </c>
      <c r="N5174" t="n">
        <v>0</v>
      </c>
      <c r="O5174" t="n">
        <v>0</v>
      </c>
      <c r="P5174" t="n">
        <v>0</v>
      </c>
      <c r="Q5174" t="n">
        <v>0</v>
      </c>
      <c r="R5174" s="2" t="inlineStr"/>
    </row>
    <row r="5175" ht="15" customHeight="1">
      <c r="A5175" t="inlineStr">
        <is>
          <t>A 7464-2023</t>
        </is>
      </c>
      <c r="B5175" s="1" t="n">
        <v>44971</v>
      </c>
      <c r="C5175" s="1" t="n">
        <v>45210</v>
      </c>
      <c r="D5175" t="inlineStr">
        <is>
          <t>DALARNAS LÄN</t>
        </is>
      </c>
      <c r="E5175" t="inlineStr">
        <is>
          <t>MORA</t>
        </is>
      </c>
      <c r="G5175" t="n">
        <v>1.4</v>
      </c>
      <c r="H5175" t="n">
        <v>0</v>
      </c>
      <c r="I5175" t="n">
        <v>0</v>
      </c>
      <c r="J5175" t="n">
        <v>0</v>
      </c>
      <c r="K5175" t="n">
        <v>0</v>
      </c>
      <c r="L5175" t="n">
        <v>0</v>
      </c>
      <c r="M5175" t="n">
        <v>0</v>
      </c>
      <c r="N5175" t="n">
        <v>0</v>
      </c>
      <c r="O5175" t="n">
        <v>0</v>
      </c>
      <c r="P5175" t="n">
        <v>0</v>
      </c>
      <c r="Q5175" t="n">
        <v>0</v>
      </c>
      <c r="R5175" s="2" t="inlineStr"/>
    </row>
    <row r="5176" ht="15" customHeight="1">
      <c r="A5176" t="inlineStr">
        <is>
          <t>A 8145-2023</t>
        </is>
      </c>
      <c r="B5176" s="1" t="n">
        <v>44971</v>
      </c>
      <c r="C5176" s="1" t="n">
        <v>45210</v>
      </c>
      <c r="D5176" t="inlineStr">
        <is>
          <t>DALARNAS LÄN</t>
        </is>
      </c>
      <c r="E5176" t="inlineStr">
        <is>
          <t>GAGNEF</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7656-2023</t>
        </is>
      </c>
      <c r="B5177" s="1" t="n">
        <v>44972</v>
      </c>
      <c r="C5177" s="1" t="n">
        <v>45210</v>
      </c>
      <c r="D5177" t="inlineStr">
        <is>
          <t>DALARNAS LÄN</t>
        </is>
      </c>
      <c r="E5177" t="inlineStr">
        <is>
          <t>FALUN</t>
        </is>
      </c>
      <c r="G5177" t="n">
        <v>26.1</v>
      </c>
      <c r="H5177" t="n">
        <v>0</v>
      </c>
      <c r="I5177" t="n">
        <v>0</v>
      </c>
      <c r="J5177" t="n">
        <v>0</v>
      </c>
      <c r="K5177" t="n">
        <v>0</v>
      </c>
      <c r="L5177" t="n">
        <v>0</v>
      </c>
      <c r="M5177" t="n">
        <v>0</v>
      </c>
      <c r="N5177" t="n">
        <v>0</v>
      </c>
      <c r="O5177" t="n">
        <v>0</v>
      </c>
      <c r="P5177" t="n">
        <v>0</v>
      </c>
      <c r="Q5177" t="n">
        <v>0</v>
      </c>
      <c r="R5177" s="2" t="inlineStr"/>
    </row>
    <row r="5178" ht="15" customHeight="1">
      <c r="A5178" t="inlineStr">
        <is>
          <t>A 8524-2023</t>
        </is>
      </c>
      <c r="B5178" s="1" t="n">
        <v>44972</v>
      </c>
      <c r="C5178" s="1" t="n">
        <v>45210</v>
      </c>
      <c r="D5178" t="inlineStr">
        <is>
          <t>DALARNAS LÄN</t>
        </is>
      </c>
      <c r="E5178" t="inlineStr">
        <is>
          <t>AVESTA</t>
        </is>
      </c>
      <c r="G5178" t="n">
        <v>1</v>
      </c>
      <c r="H5178" t="n">
        <v>0</v>
      </c>
      <c r="I5178" t="n">
        <v>0</v>
      </c>
      <c r="J5178" t="n">
        <v>0</v>
      </c>
      <c r="K5178" t="n">
        <v>0</v>
      </c>
      <c r="L5178" t="n">
        <v>0</v>
      </c>
      <c r="M5178" t="n">
        <v>0</v>
      </c>
      <c r="N5178" t="n">
        <v>0</v>
      </c>
      <c r="O5178" t="n">
        <v>0</v>
      </c>
      <c r="P5178" t="n">
        <v>0</v>
      </c>
      <c r="Q5178" t="n">
        <v>0</v>
      </c>
      <c r="R5178" s="2" t="inlineStr"/>
    </row>
    <row r="5179" ht="15" customHeight="1">
      <c r="A5179" t="inlineStr">
        <is>
          <t>A 8520-2023</t>
        </is>
      </c>
      <c r="B5179" s="1" t="n">
        <v>44972</v>
      </c>
      <c r="C5179" s="1" t="n">
        <v>45210</v>
      </c>
      <c r="D5179" t="inlineStr">
        <is>
          <t>DALARNAS LÄN</t>
        </is>
      </c>
      <c r="E5179" t="inlineStr">
        <is>
          <t>AVESTA</t>
        </is>
      </c>
      <c r="G5179" t="n">
        <v>3.6</v>
      </c>
      <c r="H5179" t="n">
        <v>0</v>
      </c>
      <c r="I5179" t="n">
        <v>0</v>
      </c>
      <c r="J5179" t="n">
        <v>0</v>
      </c>
      <c r="K5179" t="n">
        <v>0</v>
      </c>
      <c r="L5179" t="n">
        <v>0</v>
      </c>
      <c r="M5179" t="n">
        <v>0</v>
      </c>
      <c r="N5179" t="n">
        <v>0</v>
      </c>
      <c r="O5179" t="n">
        <v>0</v>
      </c>
      <c r="P5179" t="n">
        <v>0</v>
      </c>
      <c r="Q5179" t="n">
        <v>0</v>
      </c>
      <c r="R5179" s="2" t="inlineStr"/>
    </row>
    <row r="5180" ht="15" customHeight="1">
      <c r="A5180" t="inlineStr">
        <is>
          <t>A 7588-2023</t>
        </is>
      </c>
      <c r="B5180" s="1" t="n">
        <v>44972</v>
      </c>
      <c r="C5180" s="1" t="n">
        <v>45210</v>
      </c>
      <c r="D5180" t="inlineStr">
        <is>
          <t>DALARNAS LÄN</t>
        </is>
      </c>
      <c r="E5180" t="inlineStr">
        <is>
          <t>BORLÄNGE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8698-2023</t>
        </is>
      </c>
      <c r="B5181" s="1" t="n">
        <v>44972</v>
      </c>
      <c r="C5181" s="1" t="n">
        <v>45210</v>
      </c>
      <c r="D5181" t="inlineStr">
        <is>
          <t>DALARNAS LÄN</t>
        </is>
      </c>
      <c r="E5181" t="inlineStr">
        <is>
          <t>AVESTA</t>
        </is>
      </c>
      <c r="G5181" t="n">
        <v>17.2</v>
      </c>
      <c r="H5181" t="n">
        <v>0</v>
      </c>
      <c r="I5181" t="n">
        <v>0</v>
      </c>
      <c r="J5181" t="n">
        <v>0</v>
      </c>
      <c r="K5181" t="n">
        <v>0</v>
      </c>
      <c r="L5181" t="n">
        <v>0</v>
      </c>
      <c r="M5181" t="n">
        <v>0</v>
      </c>
      <c r="N5181" t="n">
        <v>0</v>
      </c>
      <c r="O5181" t="n">
        <v>0</v>
      </c>
      <c r="P5181" t="n">
        <v>0</v>
      </c>
      <c r="Q5181" t="n">
        <v>0</v>
      </c>
      <c r="R5181" s="2" t="inlineStr"/>
    </row>
    <row r="5182" ht="15" customHeight="1">
      <c r="A5182" t="inlineStr">
        <is>
          <t>A 7666-2023</t>
        </is>
      </c>
      <c r="B5182" s="1" t="n">
        <v>44972</v>
      </c>
      <c r="C5182" s="1" t="n">
        <v>45210</v>
      </c>
      <c r="D5182" t="inlineStr">
        <is>
          <t>DALARNAS LÄN</t>
        </is>
      </c>
      <c r="E5182" t="inlineStr">
        <is>
          <t>SÄTER</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8694-2023</t>
        </is>
      </c>
      <c r="B5183" s="1" t="n">
        <v>44972</v>
      </c>
      <c r="C5183" s="1" t="n">
        <v>45210</v>
      </c>
      <c r="D5183" t="inlineStr">
        <is>
          <t>DALARNAS LÄN</t>
        </is>
      </c>
      <c r="E5183" t="inlineStr">
        <is>
          <t>VANSBRO</t>
        </is>
      </c>
      <c r="G5183" t="n">
        <v>2</v>
      </c>
      <c r="H5183" t="n">
        <v>0</v>
      </c>
      <c r="I5183" t="n">
        <v>0</v>
      </c>
      <c r="J5183" t="n">
        <v>0</v>
      </c>
      <c r="K5183" t="n">
        <v>0</v>
      </c>
      <c r="L5183" t="n">
        <v>0</v>
      </c>
      <c r="M5183" t="n">
        <v>0</v>
      </c>
      <c r="N5183" t="n">
        <v>0</v>
      </c>
      <c r="O5183" t="n">
        <v>0</v>
      </c>
      <c r="P5183" t="n">
        <v>0</v>
      </c>
      <c r="Q5183" t="n">
        <v>0</v>
      </c>
      <c r="R5183" s="2" t="inlineStr"/>
    </row>
    <row r="5184" ht="15" customHeight="1">
      <c r="A5184" t="inlineStr">
        <is>
          <t>A 7814-2023</t>
        </is>
      </c>
      <c r="B5184" s="1" t="n">
        <v>44973</v>
      </c>
      <c r="C5184" s="1" t="n">
        <v>45210</v>
      </c>
      <c r="D5184" t="inlineStr">
        <is>
          <t>DALARNAS LÄN</t>
        </is>
      </c>
      <c r="E5184" t="inlineStr">
        <is>
          <t>ORSA</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7928-2023</t>
        </is>
      </c>
      <c r="B5185" s="1" t="n">
        <v>44973</v>
      </c>
      <c r="C5185" s="1" t="n">
        <v>45210</v>
      </c>
      <c r="D5185" t="inlineStr">
        <is>
          <t>DALARNAS LÄN</t>
        </is>
      </c>
      <c r="E5185" t="inlineStr">
        <is>
          <t>LEKSAND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7916-2023</t>
        </is>
      </c>
      <c r="B5186" s="1" t="n">
        <v>44973</v>
      </c>
      <c r="C5186" s="1" t="n">
        <v>45210</v>
      </c>
      <c r="D5186" t="inlineStr">
        <is>
          <t>DALARNAS LÄN</t>
        </is>
      </c>
      <c r="E5186" t="inlineStr">
        <is>
          <t>FALUN</t>
        </is>
      </c>
      <c r="G5186" t="n">
        <v>22.8</v>
      </c>
      <c r="H5186" t="n">
        <v>0</v>
      </c>
      <c r="I5186" t="n">
        <v>0</v>
      </c>
      <c r="J5186" t="n">
        <v>0</v>
      </c>
      <c r="K5186" t="n">
        <v>0</v>
      </c>
      <c r="L5186" t="n">
        <v>0</v>
      </c>
      <c r="M5186" t="n">
        <v>0</v>
      </c>
      <c r="N5186" t="n">
        <v>0</v>
      </c>
      <c r="O5186" t="n">
        <v>0</v>
      </c>
      <c r="P5186" t="n">
        <v>0</v>
      </c>
      <c r="Q5186" t="n">
        <v>0</v>
      </c>
      <c r="R5186" s="2" t="inlineStr"/>
    </row>
    <row r="5187" ht="15" customHeight="1">
      <c r="A5187" t="inlineStr">
        <is>
          <t>A 8211-2023</t>
        </is>
      </c>
      <c r="B5187" s="1" t="n">
        <v>44974</v>
      </c>
      <c r="C5187" s="1" t="n">
        <v>45210</v>
      </c>
      <c r="D5187" t="inlineStr">
        <is>
          <t>DALARNAS LÄN</t>
        </is>
      </c>
      <c r="E5187" t="inlineStr">
        <is>
          <t>LEKSAND</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8936-2023</t>
        </is>
      </c>
      <c r="B5188" s="1" t="n">
        <v>44974</v>
      </c>
      <c r="C5188" s="1" t="n">
        <v>45210</v>
      </c>
      <c r="D5188" t="inlineStr">
        <is>
          <t>DALARNAS LÄN</t>
        </is>
      </c>
      <c r="E5188" t="inlineStr">
        <is>
          <t>LEKSAND</t>
        </is>
      </c>
      <c r="G5188" t="n">
        <v>7</v>
      </c>
      <c r="H5188" t="n">
        <v>0</v>
      </c>
      <c r="I5188" t="n">
        <v>0</v>
      </c>
      <c r="J5188" t="n">
        <v>0</v>
      </c>
      <c r="K5188" t="n">
        <v>0</v>
      </c>
      <c r="L5188" t="n">
        <v>0</v>
      </c>
      <c r="M5188" t="n">
        <v>0</v>
      </c>
      <c r="N5188" t="n">
        <v>0</v>
      </c>
      <c r="O5188" t="n">
        <v>0</v>
      </c>
      <c r="P5188" t="n">
        <v>0</v>
      </c>
      <c r="Q5188" t="n">
        <v>0</v>
      </c>
      <c r="R5188" s="2" t="inlineStr"/>
    </row>
    <row r="5189" ht="15" customHeight="1">
      <c r="A5189" t="inlineStr">
        <is>
          <t>A 9143-2023</t>
        </is>
      </c>
      <c r="B5189" s="1" t="n">
        <v>44974</v>
      </c>
      <c r="C5189" s="1" t="n">
        <v>45210</v>
      </c>
      <c r="D5189" t="inlineStr">
        <is>
          <t>DALARNAS LÄN</t>
        </is>
      </c>
      <c r="E5189" t="inlineStr">
        <is>
          <t>LEKSAND</t>
        </is>
      </c>
      <c r="G5189" t="n">
        <v>4.3</v>
      </c>
      <c r="H5189" t="n">
        <v>0</v>
      </c>
      <c r="I5189" t="n">
        <v>0</v>
      </c>
      <c r="J5189" t="n">
        <v>0</v>
      </c>
      <c r="K5189" t="n">
        <v>0</v>
      </c>
      <c r="L5189" t="n">
        <v>0</v>
      </c>
      <c r="M5189" t="n">
        <v>0</v>
      </c>
      <c r="N5189" t="n">
        <v>0</v>
      </c>
      <c r="O5189" t="n">
        <v>0</v>
      </c>
      <c r="P5189" t="n">
        <v>0</v>
      </c>
      <c r="Q5189" t="n">
        <v>0</v>
      </c>
      <c r="R5189" s="2" t="inlineStr"/>
    </row>
    <row r="5190" ht="15" customHeight="1">
      <c r="A5190" t="inlineStr">
        <is>
          <t>A 9138-2023</t>
        </is>
      </c>
      <c r="B5190" s="1" t="n">
        <v>44974</v>
      </c>
      <c r="C5190" s="1" t="n">
        <v>45210</v>
      </c>
      <c r="D5190" t="inlineStr">
        <is>
          <t>DALARNAS LÄN</t>
        </is>
      </c>
      <c r="E5190" t="inlineStr">
        <is>
          <t>LEKSAND</t>
        </is>
      </c>
      <c r="G5190" t="n">
        <v>4.6</v>
      </c>
      <c r="H5190" t="n">
        <v>0</v>
      </c>
      <c r="I5190" t="n">
        <v>0</v>
      </c>
      <c r="J5190" t="n">
        <v>0</v>
      </c>
      <c r="K5190" t="n">
        <v>0</v>
      </c>
      <c r="L5190" t="n">
        <v>0</v>
      </c>
      <c r="M5190" t="n">
        <v>0</v>
      </c>
      <c r="N5190" t="n">
        <v>0</v>
      </c>
      <c r="O5190" t="n">
        <v>0</v>
      </c>
      <c r="P5190" t="n">
        <v>0</v>
      </c>
      <c r="Q5190" t="n">
        <v>0</v>
      </c>
      <c r="R5190" s="2" t="inlineStr"/>
    </row>
    <row r="5191" ht="15" customHeight="1">
      <c r="A5191" t="inlineStr">
        <is>
          <t>A 8940-2023</t>
        </is>
      </c>
      <c r="B5191" s="1" t="n">
        <v>44974</v>
      </c>
      <c r="C5191" s="1" t="n">
        <v>45210</v>
      </c>
      <c r="D5191" t="inlineStr">
        <is>
          <t>DALARNAS LÄN</t>
        </is>
      </c>
      <c r="E5191" t="inlineStr">
        <is>
          <t>LEKSAND</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9141-2023</t>
        </is>
      </c>
      <c r="B5192" s="1" t="n">
        <v>44974</v>
      </c>
      <c r="C5192" s="1" t="n">
        <v>45210</v>
      </c>
      <c r="D5192" t="inlineStr">
        <is>
          <t>DALARNAS LÄN</t>
        </is>
      </c>
      <c r="E5192" t="inlineStr">
        <is>
          <t>LEKSAND</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8519-2023</t>
        </is>
      </c>
      <c r="B5193" s="1" t="n">
        <v>44977</v>
      </c>
      <c r="C5193" s="1" t="n">
        <v>45210</v>
      </c>
      <c r="D5193" t="inlineStr">
        <is>
          <t>DALARNAS LÄN</t>
        </is>
      </c>
      <c r="E5193" t="inlineStr">
        <is>
          <t>GAGNEF</t>
        </is>
      </c>
      <c r="G5193" t="n">
        <v>2.1</v>
      </c>
      <c r="H5193" t="n">
        <v>0</v>
      </c>
      <c r="I5193" t="n">
        <v>0</v>
      </c>
      <c r="J5193" t="n">
        <v>0</v>
      </c>
      <c r="K5193" t="n">
        <v>0</v>
      </c>
      <c r="L5193" t="n">
        <v>0</v>
      </c>
      <c r="M5193" t="n">
        <v>0</v>
      </c>
      <c r="N5193" t="n">
        <v>0</v>
      </c>
      <c r="O5193" t="n">
        <v>0</v>
      </c>
      <c r="P5193" t="n">
        <v>0</v>
      </c>
      <c r="Q5193" t="n">
        <v>0</v>
      </c>
      <c r="R5193" s="2" t="inlineStr"/>
    </row>
    <row r="5194" ht="15" customHeight="1">
      <c r="A5194" t="inlineStr">
        <is>
          <t>A 8523-2023</t>
        </is>
      </c>
      <c r="B5194" s="1" t="n">
        <v>44977</v>
      </c>
      <c r="C5194" s="1" t="n">
        <v>45210</v>
      </c>
      <c r="D5194" t="inlineStr">
        <is>
          <t>DALARNAS LÄN</t>
        </is>
      </c>
      <c r="E5194" t="inlineStr">
        <is>
          <t>AVESTA</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9459-2023</t>
        </is>
      </c>
      <c r="B5195" s="1" t="n">
        <v>44977</v>
      </c>
      <c r="C5195" s="1" t="n">
        <v>45210</v>
      </c>
      <c r="D5195" t="inlineStr">
        <is>
          <t>DALARNAS LÄN</t>
        </is>
      </c>
      <c r="E5195" t="inlineStr">
        <is>
          <t>LEKSAND</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8453-2023</t>
        </is>
      </c>
      <c r="B5196" s="1" t="n">
        <v>44977</v>
      </c>
      <c r="C5196" s="1" t="n">
        <v>45210</v>
      </c>
      <c r="D5196" t="inlineStr">
        <is>
          <t>DALARNAS LÄN</t>
        </is>
      </c>
      <c r="E5196" t="inlineStr">
        <is>
          <t>SMEDJEBACKEN</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8521-2023</t>
        </is>
      </c>
      <c r="B5197" s="1" t="n">
        <v>44977</v>
      </c>
      <c r="C5197" s="1" t="n">
        <v>45210</v>
      </c>
      <c r="D5197" t="inlineStr">
        <is>
          <t>DALARNAS LÄN</t>
        </is>
      </c>
      <c r="E5197" t="inlineStr">
        <is>
          <t>AVESTA</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8554-2023</t>
        </is>
      </c>
      <c r="B5198" s="1" t="n">
        <v>44977</v>
      </c>
      <c r="C5198" s="1" t="n">
        <v>45210</v>
      </c>
      <c r="D5198" t="inlineStr">
        <is>
          <t>DALARNAS LÄN</t>
        </is>
      </c>
      <c r="E5198" t="inlineStr">
        <is>
          <t>BORLÄNGE</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8537-2023</t>
        </is>
      </c>
      <c r="B5199" s="1" t="n">
        <v>44977</v>
      </c>
      <c r="C5199" s="1" t="n">
        <v>45210</v>
      </c>
      <c r="D5199" t="inlineStr">
        <is>
          <t>DALARNAS LÄN</t>
        </is>
      </c>
      <c r="E5199" t="inlineStr">
        <is>
          <t>RÄTTVIK</t>
        </is>
      </c>
      <c r="G5199" t="n">
        <v>4</v>
      </c>
      <c r="H5199" t="n">
        <v>0</v>
      </c>
      <c r="I5199" t="n">
        <v>0</v>
      </c>
      <c r="J5199" t="n">
        <v>0</v>
      </c>
      <c r="K5199" t="n">
        <v>0</v>
      </c>
      <c r="L5199" t="n">
        <v>0</v>
      </c>
      <c r="M5199" t="n">
        <v>0</v>
      </c>
      <c r="N5199" t="n">
        <v>0</v>
      </c>
      <c r="O5199" t="n">
        <v>0</v>
      </c>
      <c r="P5199" t="n">
        <v>0</v>
      </c>
      <c r="Q5199" t="n">
        <v>0</v>
      </c>
      <c r="R5199" s="2" t="inlineStr"/>
    </row>
    <row r="5200" ht="15" customHeight="1">
      <c r="A5200" t="inlineStr">
        <is>
          <t>A 8556-2023</t>
        </is>
      </c>
      <c r="B5200" s="1" t="n">
        <v>44977</v>
      </c>
      <c r="C5200" s="1" t="n">
        <v>45210</v>
      </c>
      <c r="D5200" t="inlineStr">
        <is>
          <t>DALARNAS LÄN</t>
        </is>
      </c>
      <c r="E5200" t="inlineStr">
        <is>
          <t>BORLÄNGE</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8703-2023</t>
        </is>
      </c>
      <c r="B5201" s="1" t="n">
        <v>44978</v>
      </c>
      <c r="C5201" s="1" t="n">
        <v>45210</v>
      </c>
      <c r="D5201" t="inlineStr">
        <is>
          <t>DALARNAS LÄN</t>
        </is>
      </c>
      <c r="E5201" t="inlineStr">
        <is>
          <t>LUDVIKA</t>
        </is>
      </c>
      <c r="G5201" t="n">
        <v>0.5</v>
      </c>
      <c r="H5201" t="n">
        <v>0</v>
      </c>
      <c r="I5201" t="n">
        <v>0</v>
      </c>
      <c r="J5201" t="n">
        <v>0</v>
      </c>
      <c r="K5201" t="n">
        <v>0</v>
      </c>
      <c r="L5201" t="n">
        <v>0</v>
      </c>
      <c r="M5201" t="n">
        <v>0</v>
      </c>
      <c r="N5201" t="n">
        <v>0</v>
      </c>
      <c r="O5201" t="n">
        <v>0</v>
      </c>
      <c r="P5201" t="n">
        <v>0</v>
      </c>
      <c r="Q5201" t="n">
        <v>0</v>
      </c>
      <c r="R5201" s="2" t="inlineStr"/>
    </row>
    <row r="5202" ht="15" customHeight="1">
      <c r="A5202" t="inlineStr">
        <is>
          <t>A 9801-2023</t>
        </is>
      </c>
      <c r="B5202" s="1" t="n">
        <v>44978</v>
      </c>
      <c r="C5202" s="1" t="n">
        <v>45210</v>
      </c>
      <c r="D5202" t="inlineStr">
        <is>
          <t>DALARNAS LÄN</t>
        </is>
      </c>
      <c r="E5202" t="inlineStr">
        <is>
          <t>ÄLVDALEN</t>
        </is>
      </c>
      <c r="G5202" t="n">
        <v>7</v>
      </c>
      <c r="H5202" t="n">
        <v>0</v>
      </c>
      <c r="I5202" t="n">
        <v>0</v>
      </c>
      <c r="J5202" t="n">
        <v>0</v>
      </c>
      <c r="K5202" t="n">
        <v>0</v>
      </c>
      <c r="L5202" t="n">
        <v>0</v>
      </c>
      <c r="M5202" t="n">
        <v>0</v>
      </c>
      <c r="N5202" t="n">
        <v>0</v>
      </c>
      <c r="O5202" t="n">
        <v>0</v>
      </c>
      <c r="P5202" t="n">
        <v>0</v>
      </c>
      <c r="Q5202" t="n">
        <v>0</v>
      </c>
      <c r="R5202" s="2" t="inlineStr"/>
    </row>
    <row r="5203" ht="15" customHeight="1">
      <c r="A5203" t="inlineStr">
        <is>
          <t>A 8715-2023</t>
        </is>
      </c>
      <c r="B5203" s="1" t="n">
        <v>44978</v>
      </c>
      <c r="C5203" s="1" t="n">
        <v>45210</v>
      </c>
      <c r="D5203" t="inlineStr">
        <is>
          <t>DALARNAS LÄN</t>
        </is>
      </c>
      <c r="E5203" t="inlineStr">
        <is>
          <t>HEDEMORA</t>
        </is>
      </c>
      <c r="G5203" t="n">
        <v>4.4</v>
      </c>
      <c r="H5203" t="n">
        <v>0</v>
      </c>
      <c r="I5203" t="n">
        <v>0</v>
      </c>
      <c r="J5203" t="n">
        <v>0</v>
      </c>
      <c r="K5203" t="n">
        <v>0</v>
      </c>
      <c r="L5203" t="n">
        <v>0</v>
      </c>
      <c r="M5203" t="n">
        <v>0</v>
      </c>
      <c r="N5203" t="n">
        <v>0</v>
      </c>
      <c r="O5203" t="n">
        <v>0</v>
      </c>
      <c r="P5203" t="n">
        <v>0</v>
      </c>
      <c r="Q5203" t="n">
        <v>0</v>
      </c>
      <c r="R5203" s="2" t="inlineStr"/>
    </row>
    <row r="5204" ht="15" customHeight="1">
      <c r="A5204" t="inlineStr">
        <is>
          <t>A 8743-2023</t>
        </is>
      </c>
      <c r="B5204" s="1" t="n">
        <v>44978</v>
      </c>
      <c r="C5204" s="1" t="n">
        <v>45210</v>
      </c>
      <c r="D5204" t="inlineStr">
        <is>
          <t>DALARNAS LÄN</t>
        </is>
      </c>
      <c r="E5204" t="inlineStr">
        <is>
          <t>LEKSAND</t>
        </is>
      </c>
      <c r="G5204" t="n">
        <v>3</v>
      </c>
      <c r="H5204" t="n">
        <v>0</v>
      </c>
      <c r="I5204" t="n">
        <v>0</v>
      </c>
      <c r="J5204" t="n">
        <v>0</v>
      </c>
      <c r="K5204" t="n">
        <v>0</v>
      </c>
      <c r="L5204" t="n">
        <v>0</v>
      </c>
      <c r="M5204" t="n">
        <v>0</v>
      </c>
      <c r="N5204" t="n">
        <v>0</v>
      </c>
      <c r="O5204" t="n">
        <v>0</v>
      </c>
      <c r="P5204" t="n">
        <v>0</v>
      </c>
      <c r="Q5204" t="n">
        <v>0</v>
      </c>
      <c r="R5204" s="2" t="inlineStr"/>
    </row>
    <row r="5205" ht="15" customHeight="1">
      <c r="A5205" t="inlineStr">
        <is>
          <t>A 8697-2023</t>
        </is>
      </c>
      <c r="B5205" s="1" t="n">
        <v>44978</v>
      </c>
      <c r="C5205" s="1" t="n">
        <v>45210</v>
      </c>
      <c r="D5205" t="inlineStr">
        <is>
          <t>DALARNAS LÄN</t>
        </is>
      </c>
      <c r="E5205" t="inlineStr">
        <is>
          <t>SÄTER</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9719-2023</t>
        </is>
      </c>
      <c r="B5206" s="1" t="n">
        <v>44978</v>
      </c>
      <c r="C5206" s="1" t="n">
        <v>45210</v>
      </c>
      <c r="D5206" t="inlineStr">
        <is>
          <t>DALARNAS LÄN</t>
        </is>
      </c>
      <c r="E5206" t="inlineStr">
        <is>
          <t>ÄLVDALEN</t>
        </is>
      </c>
      <c r="G5206" t="n">
        <v>20.2</v>
      </c>
      <c r="H5206" t="n">
        <v>0</v>
      </c>
      <c r="I5206" t="n">
        <v>0</v>
      </c>
      <c r="J5206" t="n">
        <v>0</v>
      </c>
      <c r="K5206" t="n">
        <v>0</v>
      </c>
      <c r="L5206" t="n">
        <v>0</v>
      </c>
      <c r="M5206" t="n">
        <v>0</v>
      </c>
      <c r="N5206" t="n">
        <v>0</v>
      </c>
      <c r="O5206" t="n">
        <v>0</v>
      </c>
      <c r="P5206" t="n">
        <v>0</v>
      </c>
      <c r="Q5206" t="n">
        <v>0</v>
      </c>
      <c r="R5206" s="2" t="inlineStr"/>
    </row>
    <row r="5207" ht="15" customHeight="1">
      <c r="A5207" t="inlineStr">
        <is>
          <t>A 8707-2023</t>
        </is>
      </c>
      <c r="B5207" s="1" t="n">
        <v>44978</v>
      </c>
      <c r="C5207" s="1" t="n">
        <v>45210</v>
      </c>
      <c r="D5207" t="inlineStr">
        <is>
          <t>DALARNAS LÄN</t>
        </is>
      </c>
      <c r="E5207" t="inlineStr">
        <is>
          <t>MALUNG-SÄLEN</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8755-2023</t>
        </is>
      </c>
      <c r="B5208" s="1" t="n">
        <v>44978</v>
      </c>
      <c r="C5208" s="1" t="n">
        <v>45210</v>
      </c>
      <c r="D5208" t="inlineStr">
        <is>
          <t>DALARNAS LÄN</t>
        </is>
      </c>
      <c r="E5208" t="inlineStr">
        <is>
          <t>LEKSAND</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8773-2023</t>
        </is>
      </c>
      <c r="B5209" s="1" t="n">
        <v>44978</v>
      </c>
      <c r="C5209" s="1" t="n">
        <v>45210</v>
      </c>
      <c r="D5209" t="inlineStr">
        <is>
          <t>DALARNAS LÄN</t>
        </is>
      </c>
      <c r="E5209" t="inlineStr">
        <is>
          <t>LEKSAND</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8785-2023</t>
        </is>
      </c>
      <c r="B5210" s="1" t="n">
        <v>44978</v>
      </c>
      <c r="C5210" s="1" t="n">
        <v>45210</v>
      </c>
      <c r="D5210" t="inlineStr">
        <is>
          <t>DALARNAS LÄN</t>
        </is>
      </c>
      <c r="E5210" t="inlineStr">
        <is>
          <t>MORA</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8841-2023</t>
        </is>
      </c>
      <c r="B5211" s="1" t="n">
        <v>44978</v>
      </c>
      <c r="C5211" s="1" t="n">
        <v>45210</v>
      </c>
      <c r="D5211" t="inlineStr">
        <is>
          <t>DALARNAS LÄN</t>
        </is>
      </c>
      <c r="E5211" t="inlineStr">
        <is>
          <t>SÄTER</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9023-2023</t>
        </is>
      </c>
      <c r="B5212" s="1" t="n">
        <v>44979</v>
      </c>
      <c r="C5212" s="1" t="n">
        <v>45210</v>
      </c>
      <c r="D5212" t="inlineStr">
        <is>
          <t>DALARNAS LÄN</t>
        </is>
      </c>
      <c r="E5212" t="inlineStr">
        <is>
          <t>MORA</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9977-2023</t>
        </is>
      </c>
      <c r="B5213" s="1" t="n">
        <v>44979</v>
      </c>
      <c r="C5213" s="1" t="n">
        <v>45210</v>
      </c>
      <c r="D5213" t="inlineStr">
        <is>
          <t>DALARNAS LÄN</t>
        </is>
      </c>
      <c r="E5213" t="inlineStr">
        <is>
          <t>MALUNG-SÄLEN</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9148-2023</t>
        </is>
      </c>
      <c r="B5214" s="1" t="n">
        <v>44980</v>
      </c>
      <c r="C5214" s="1" t="n">
        <v>45210</v>
      </c>
      <c r="D5214" t="inlineStr">
        <is>
          <t>DALARNAS LÄN</t>
        </is>
      </c>
      <c r="E5214" t="inlineStr">
        <is>
          <t>AVESTA</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9380-2023</t>
        </is>
      </c>
      <c r="B5215" s="1" t="n">
        <v>44981</v>
      </c>
      <c r="C5215" s="1" t="n">
        <v>45210</v>
      </c>
      <c r="D5215" t="inlineStr">
        <is>
          <t>DALARNAS LÄN</t>
        </is>
      </c>
      <c r="E5215" t="inlineStr">
        <is>
          <t>MALUNG-SÄLEN</t>
        </is>
      </c>
      <c r="F5215" t="inlineStr">
        <is>
          <t>Bergvik skog öst AB</t>
        </is>
      </c>
      <c r="G5215" t="n">
        <v>5.1</v>
      </c>
      <c r="H5215" t="n">
        <v>0</v>
      </c>
      <c r="I5215" t="n">
        <v>0</v>
      </c>
      <c r="J5215" t="n">
        <v>0</v>
      </c>
      <c r="K5215" t="n">
        <v>0</v>
      </c>
      <c r="L5215" t="n">
        <v>0</v>
      </c>
      <c r="M5215" t="n">
        <v>0</v>
      </c>
      <c r="N5215" t="n">
        <v>0</v>
      </c>
      <c r="O5215" t="n">
        <v>0</v>
      </c>
      <c r="P5215" t="n">
        <v>0</v>
      </c>
      <c r="Q5215" t="n">
        <v>0</v>
      </c>
      <c r="R5215" s="2" t="inlineStr"/>
    </row>
    <row r="5216" ht="15" customHeight="1">
      <c r="A5216" t="inlineStr">
        <is>
          <t>A 9366-2023</t>
        </is>
      </c>
      <c r="B5216" s="1" t="n">
        <v>44981</v>
      </c>
      <c r="C5216" s="1" t="n">
        <v>45210</v>
      </c>
      <c r="D5216" t="inlineStr">
        <is>
          <t>DALARNAS LÄN</t>
        </is>
      </c>
      <c r="E5216" t="inlineStr">
        <is>
          <t>SMEDJEBACKEN</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9442-2023</t>
        </is>
      </c>
      <c r="B5217" s="1" t="n">
        <v>44981</v>
      </c>
      <c r="C5217" s="1" t="n">
        <v>45210</v>
      </c>
      <c r="D5217" t="inlineStr">
        <is>
          <t>DALARNAS LÄN</t>
        </is>
      </c>
      <c r="E5217" t="inlineStr">
        <is>
          <t>BORLÄNGE</t>
        </is>
      </c>
      <c r="G5217" t="n">
        <v>3.6</v>
      </c>
      <c r="H5217" t="n">
        <v>0</v>
      </c>
      <c r="I5217" t="n">
        <v>0</v>
      </c>
      <c r="J5217" t="n">
        <v>0</v>
      </c>
      <c r="K5217" t="n">
        <v>0</v>
      </c>
      <c r="L5217" t="n">
        <v>0</v>
      </c>
      <c r="M5217" t="n">
        <v>0</v>
      </c>
      <c r="N5217" t="n">
        <v>0</v>
      </c>
      <c r="O5217" t="n">
        <v>0</v>
      </c>
      <c r="P5217" t="n">
        <v>0</v>
      </c>
      <c r="Q5217" t="n">
        <v>0</v>
      </c>
      <c r="R5217" s="2" t="inlineStr"/>
    </row>
    <row r="5218" ht="15" customHeight="1">
      <c r="A5218" t="inlineStr">
        <is>
          <t>A 9466-2023</t>
        </is>
      </c>
      <c r="B5218" s="1" t="n">
        <v>44981</v>
      </c>
      <c r="C5218" s="1" t="n">
        <v>45210</v>
      </c>
      <c r="D5218" t="inlineStr">
        <is>
          <t>DALARNAS LÄN</t>
        </is>
      </c>
      <c r="E5218" t="inlineStr">
        <is>
          <t>ORSA</t>
        </is>
      </c>
      <c r="F5218" t="inlineStr">
        <is>
          <t>Bergvik skog väst AB</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9585-2023</t>
        </is>
      </c>
      <c r="B5219" s="1" t="n">
        <v>44982</v>
      </c>
      <c r="C5219" s="1" t="n">
        <v>45210</v>
      </c>
      <c r="D5219" t="inlineStr">
        <is>
          <t>DALARNAS LÄN</t>
        </is>
      </c>
      <c r="E5219" t="inlineStr">
        <is>
          <t>RÄTTVIK</t>
        </is>
      </c>
      <c r="G5219" t="n">
        <v>2.6</v>
      </c>
      <c r="H5219" t="n">
        <v>0</v>
      </c>
      <c r="I5219" t="n">
        <v>0</v>
      </c>
      <c r="J5219" t="n">
        <v>0</v>
      </c>
      <c r="K5219" t="n">
        <v>0</v>
      </c>
      <c r="L5219" t="n">
        <v>0</v>
      </c>
      <c r="M5219" t="n">
        <v>0</v>
      </c>
      <c r="N5219" t="n">
        <v>0</v>
      </c>
      <c r="O5219" t="n">
        <v>0</v>
      </c>
      <c r="P5219" t="n">
        <v>0</v>
      </c>
      <c r="Q5219" t="n">
        <v>0</v>
      </c>
      <c r="R5219" s="2" t="inlineStr"/>
    </row>
    <row r="5220" ht="15" customHeight="1">
      <c r="A5220" t="inlineStr">
        <is>
          <t>A 9582-2023</t>
        </is>
      </c>
      <c r="B5220" s="1" t="n">
        <v>44982</v>
      </c>
      <c r="C5220" s="1" t="n">
        <v>45210</v>
      </c>
      <c r="D5220" t="inlineStr">
        <is>
          <t>DALARNAS LÄN</t>
        </is>
      </c>
      <c r="E5220" t="inlineStr">
        <is>
          <t>SÄTER</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9586-2023</t>
        </is>
      </c>
      <c r="B5221" s="1" t="n">
        <v>44982</v>
      </c>
      <c r="C5221" s="1" t="n">
        <v>45210</v>
      </c>
      <c r="D5221" t="inlineStr">
        <is>
          <t>DALARNAS LÄN</t>
        </is>
      </c>
      <c r="E5221" t="inlineStr">
        <is>
          <t>SÄTER</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9587-2023</t>
        </is>
      </c>
      <c r="B5222" s="1" t="n">
        <v>44983</v>
      </c>
      <c r="C5222" s="1" t="n">
        <v>45210</v>
      </c>
      <c r="D5222" t="inlineStr">
        <is>
          <t>DALARNAS LÄN</t>
        </is>
      </c>
      <c r="E5222" t="inlineStr">
        <is>
          <t>LUDVIKA</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9828-2023</t>
        </is>
      </c>
      <c r="B5223" s="1" t="n">
        <v>44984</v>
      </c>
      <c r="C5223" s="1" t="n">
        <v>45210</v>
      </c>
      <c r="D5223" t="inlineStr">
        <is>
          <t>DALARNAS LÄN</t>
        </is>
      </c>
      <c r="E5223" t="inlineStr">
        <is>
          <t>MORA</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9918-2023</t>
        </is>
      </c>
      <c r="B5224" s="1" t="n">
        <v>44985</v>
      </c>
      <c r="C5224" s="1" t="n">
        <v>45210</v>
      </c>
      <c r="D5224" t="inlineStr">
        <is>
          <t>DALARNAS LÄN</t>
        </is>
      </c>
      <c r="E5224" t="inlineStr">
        <is>
          <t>HEDEMORA</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9972-2023</t>
        </is>
      </c>
      <c r="B5225" s="1" t="n">
        <v>44985</v>
      </c>
      <c r="C5225" s="1" t="n">
        <v>45210</v>
      </c>
      <c r="D5225" t="inlineStr">
        <is>
          <t>DALARNAS LÄN</t>
        </is>
      </c>
      <c r="E5225" t="inlineStr">
        <is>
          <t>HEDEMORA</t>
        </is>
      </c>
      <c r="G5225" t="n">
        <v>4.1</v>
      </c>
      <c r="H5225" t="n">
        <v>0</v>
      </c>
      <c r="I5225" t="n">
        <v>0</v>
      </c>
      <c r="J5225" t="n">
        <v>0</v>
      </c>
      <c r="K5225" t="n">
        <v>0</v>
      </c>
      <c r="L5225" t="n">
        <v>0</v>
      </c>
      <c r="M5225" t="n">
        <v>0</v>
      </c>
      <c r="N5225" t="n">
        <v>0</v>
      </c>
      <c r="O5225" t="n">
        <v>0</v>
      </c>
      <c r="P5225" t="n">
        <v>0</v>
      </c>
      <c r="Q5225" t="n">
        <v>0</v>
      </c>
      <c r="R5225" s="2" t="inlineStr"/>
    </row>
    <row r="5226" ht="15" customHeight="1">
      <c r="A5226" t="inlineStr">
        <is>
          <t>A 9938-2023</t>
        </is>
      </c>
      <c r="B5226" s="1" t="n">
        <v>44985</v>
      </c>
      <c r="C5226" s="1" t="n">
        <v>45210</v>
      </c>
      <c r="D5226" t="inlineStr">
        <is>
          <t>DALARNAS LÄN</t>
        </is>
      </c>
      <c r="E5226" t="inlineStr">
        <is>
          <t>LEKSAND</t>
        </is>
      </c>
      <c r="G5226" t="n">
        <v>3.1</v>
      </c>
      <c r="H5226" t="n">
        <v>0</v>
      </c>
      <c r="I5226" t="n">
        <v>0</v>
      </c>
      <c r="J5226" t="n">
        <v>0</v>
      </c>
      <c r="K5226" t="n">
        <v>0</v>
      </c>
      <c r="L5226" t="n">
        <v>0</v>
      </c>
      <c r="M5226" t="n">
        <v>0</v>
      </c>
      <c r="N5226" t="n">
        <v>0</v>
      </c>
      <c r="O5226" t="n">
        <v>0</v>
      </c>
      <c r="P5226" t="n">
        <v>0</v>
      </c>
      <c r="Q5226" t="n">
        <v>0</v>
      </c>
      <c r="R5226" s="2" t="inlineStr"/>
    </row>
    <row r="5227" ht="15" customHeight="1">
      <c r="A5227" t="inlineStr">
        <is>
          <t>A 9947-2023</t>
        </is>
      </c>
      <c r="B5227" s="1" t="n">
        <v>44985</v>
      </c>
      <c r="C5227" s="1" t="n">
        <v>45210</v>
      </c>
      <c r="D5227" t="inlineStr">
        <is>
          <t>DALARNAS LÄN</t>
        </is>
      </c>
      <c r="E5227" t="inlineStr">
        <is>
          <t>LEKSAND</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11004-2023</t>
        </is>
      </c>
      <c r="B5228" s="1" t="n">
        <v>44986</v>
      </c>
      <c r="C5228" s="1" t="n">
        <v>45210</v>
      </c>
      <c r="D5228" t="inlineStr">
        <is>
          <t>DALARNAS LÄN</t>
        </is>
      </c>
      <c r="E5228" t="inlineStr">
        <is>
          <t>LEKSAND</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11010-2023</t>
        </is>
      </c>
      <c r="B5229" s="1" t="n">
        <v>44986</v>
      </c>
      <c r="C5229" s="1" t="n">
        <v>45210</v>
      </c>
      <c r="D5229" t="inlineStr">
        <is>
          <t>DALARNAS LÄN</t>
        </is>
      </c>
      <c r="E5229" t="inlineStr">
        <is>
          <t>LEKSAND</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10373-2023</t>
        </is>
      </c>
      <c r="B5230" s="1" t="n">
        <v>44987</v>
      </c>
      <c r="C5230" s="1" t="n">
        <v>45210</v>
      </c>
      <c r="D5230" t="inlineStr">
        <is>
          <t>DALARNAS LÄN</t>
        </is>
      </c>
      <c r="E5230" t="inlineStr">
        <is>
          <t>LEKSAND</t>
        </is>
      </c>
      <c r="G5230" t="n">
        <v>0.3</v>
      </c>
      <c r="H5230" t="n">
        <v>0</v>
      </c>
      <c r="I5230" t="n">
        <v>0</v>
      </c>
      <c r="J5230" t="n">
        <v>0</v>
      </c>
      <c r="K5230" t="n">
        <v>0</v>
      </c>
      <c r="L5230" t="n">
        <v>0</v>
      </c>
      <c r="M5230" t="n">
        <v>0</v>
      </c>
      <c r="N5230" t="n">
        <v>0</v>
      </c>
      <c r="O5230" t="n">
        <v>0</v>
      </c>
      <c r="P5230" t="n">
        <v>0</v>
      </c>
      <c r="Q5230" t="n">
        <v>0</v>
      </c>
      <c r="R5230" s="2" t="inlineStr"/>
    </row>
    <row r="5231" ht="15" customHeight="1">
      <c r="A5231" t="inlineStr">
        <is>
          <t>A 10524-2023</t>
        </is>
      </c>
      <c r="B5231" s="1" t="n">
        <v>44987</v>
      </c>
      <c r="C5231" s="1" t="n">
        <v>45210</v>
      </c>
      <c r="D5231" t="inlineStr">
        <is>
          <t>DALARNAS LÄN</t>
        </is>
      </c>
      <c r="E5231" t="inlineStr">
        <is>
          <t>FALUN</t>
        </is>
      </c>
      <c r="G5231" t="n">
        <v>2.9</v>
      </c>
      <c r="H5231" t="n">
        <v>0</v>
      </c>
      <c r="I5231" t="n">
        <v>0</v>
      </c>
      <c r="J5231" t="n">
        <v>0</v>
      </c>
      <c r="K5231" t="n">
        <v>0</v>
      </c>
      <c r="L5231" t="n">
        <v>0</v>
      </c>
      <c r="M5231" t="n">
        <v>0</v>
      </c>
      <c r="N5231" t="n">
        <v>0</v>
      </c>
      <c r="O5231" t="n">
        <v>0</v>
      </c>
      <c r="P5231" t="n">
        <v>0</v>
      </c>
      <c r="Q5231" t="n">
        <v>0</v>
      </c>
      <c r="R5231" s="2" t="inlineStr"/>
    </row>
    <row r="5232" ht="15" customHeight="1">
      <c r="A5232" t="inlineStr">
        <is>
          <t>A 10367-2023</t>
        </is>
      </c>
      <c r="B5232" s="1" t="n">
        <v>44987</v>
      </c>
      <c r="C5232" s="1" t="n">
        <v>45210</v>
      </c>
      <c r="D5232" t="inlineStr">
        <is>
          <t>DALARNAS LÄN</t>
        </is>
      </c>
      <c r="E5232" t="inlineStr">
        <is>
          <t>LEKSAND</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10498-2023</t>
        </is>
      </c>
      <c r="B5233" s="1" t="n">
        <v>44987</v>
      </c>
      <c r="C5233" s="1" t="n">
        <v>45210</v>
      </c>
      <c r="D5233" t="inlineStr">
        <is>
          <t>DALARNAS LÄN</t>
        </is>
      </c>
      <c r="E5233" t="inlineStr">
        <is>
          <t>BORLÄNGE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10368-2023</t>
        </is>
      </c>
      <c r="B5234" s="1" t="n">
        <v>44987</v>
      </c>
      <c r="C5234" s="1" t="n">
        <v>45210</v>
      </c>
      <c r="D5234" t="inlineStr">
        <is>
          <t>DALARNAS LÄN</t>
        </is>
      </c>
      <c r="E5234" t="inlineStr">
        <is>
          <t>LEKSAND</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10523-2023</t>
        </is>
      </c>
      <c r="B5235" s="1" t="n">
        <v>44987</v>
      </c>
      <c r="C5235" s="1" t="n">
        <v>45210</v>
      </c>
      <c r="D5235" t="inlineStr">
        <is>
          <t>DALARNAS LÄN</t>
        </is>
      </c>
      <c r="E5235" t="inlineStr">
        <is>
          <t>FALUN</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10751-2023</t>
        </is>
      </c>
      <c r="B5236" s="1" t="n">
        <v>44988</v>
      </c>
      <c r="C5236" s="1" t="n">
        <v>45210</v>
      </c>
      <c r="D5236" t="inlineStr">
        <is>
          <t>DALARNAS LÄN</t>
        </is>
      </c>
      <c r="E5236" t="inlineStr">
        <is>
          <t>BORLÄNGE</t>
        </is>
      </c>
      <c r="G5236" t="n">
        <v>2.7</v>
      </c>
      <c r="H5236" t="n">
        <v>0</v>
      </c>
      <c r="I5236" t="n">
        <v>0</v>
      </c>
      <c r="J5236" t="n">
        <v>0</v>
      </c>
      <c r="K5236" t="n">
        <v>0</v>
      </c>
      <c r="L5236" t="n">
        <v>0</v>
      </c>
      <c r="M5236" t="n">
        <v>0</v>
      </c>
      <c r="N5236" t="n">
        <v>0</v>
      </c>
      <c r="O5236" t="n">
        <v>0</v>
      </c>
      <c r="P5236" t="n">
        <v>0</v>
      </c>
      <c r="Q5236" t="n">
        <v>0</v>
      </c>
      <c r="R5236" s="2" t="inlineStr"/>
      <c r="U5236">
        <f>HYPERLINK("https://klasma.github.io/Logging_2081/knärot/A 10751-2023.png", "A 10751-2023")</f>
        <v/>
      </c>
      <c r="V5236">
        <f>HYPERLINK("https://klasma.github.io/Logging_2081/klagomål/A 10751-2023.docx", "A 10751-2023")</f>
        <v/>
      </c>
      <c r="W5236">
        <f>HYPERLINK("https://klasma.github.io/Logging_2081/klagomålsmail/A 10751-2023.docx", "A 10751-2023")</f>
        <v/>
      </c>
      <c r="X5236">
        <f>HYPERLINK("https://klasma.github.io/Logging_2081/tillsyn/A 10751-2023.docx", "A 10751-2023")</f>
        <v/>
      </c>
      <c r="Y5236">
        <f>HYPERLINK("https://klasma.github.io/Logging_2081/tillsynsmail/A 10751-2023.docx", "A 10751-2023")</f>
        <v/>
      </c>
    </row>
    <row r="5237" ht="15" customHeight="1">
      <c r="A5237" t="inlineStr">
        <is>
          <t>A 11398-2023</t>
        </is>
      </c>
      <c r="B5237" s="1" t="n">
        <v>44988</v>
      </c>
      <c r="C5237" s="1" t="n">
        <v>45210</v>
      </c>
      <c r="D5237" t="inlineStr">
        <is>
          <t>DALARNAS LÄN</t>
        </is>
      </c>
      <c r="E5237" t="inlineStr">
        <is>
          <t>LEKSAND</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11423-2023</t>
        </is>
      </c>
      <c r="B5238" s="1" t="n">
        <v>44988</v>
      </c>
      <c r="C5238" s="1" t="n">
        <v>45210</v>
      </c>
      <c r="D5238" t="inlineStr">
        <is>
          <t>DALARNAS LÄN</t>
        </is>
      </c>
      <c r="E5238" t="inlineStr">
        <is>
          <t>LEKSAND</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10633-2023</t>
        </is>
      </c>
      <c r="B5239" s="1" t="n">
        <v>44988</v>
      </c>
      <c r="C5239" s="1" t="n">
        <v>45210</v>
      </c>
      <c r="D5239" t="inlineStr">
        <is>
          <t>DALARNAS LÄN</t>
        </is>
      </c>
      <c r="E5239" t="inlineStr">
        <is>
          <t>FALUN</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11420-2023</t>
        </is>
      </c>
      <c r="B5240" s="1" t="n">
        <v>44988</v>
      </c>
      <c r="C5240" s="1" t="n">
        <v>45210</v>
      </c>
      <c r="D5240" t="inlineStr">
        <is>
          <t>DALARNAS LÄN</t>
        </is>
      </c>
      <c r="E5240" t="inlineStr">
        <is>
          <t>LEKSAND</t>
        </is>
      </c>
      <c r="G5240" t="n">
        <v>6.5</v>
      </c>
      <c r="H5240" t="n">
        <v>0</v>
      </c>
      <c r="I5240" t="n">
        <v>0</v>
      </c>
      <c r="J5240" t="n">
        <v>0</v>
      </c>
      <c r="K5240" t="n">
        <v>0</v>
      </c>
      <c r="L5240" t="n">
        <v>0</v>
      </c>
      <c r="M5240" t="n">
        <v>0</v>
      </c>
      <c r="N5240" t="n">
        <v>0</v>
      </c>
      <c r="O5240" t="n">
        <v>0</v>
      </c>
      <c r="P5240" t="n">
        <v>0</v>
      </c>
      <c r="Q5240" t="n">
        <v>0</v>
      </c>
      <c r="R5240" s="2" t="inlineStr"/>
    </row>
    <row r="5241" ht="15" customHeight="1">
      <c r="A5241" t="inlineStr">
        <is>
          <t>A 10833-2023</t>
        </is>
      </c>
      <c r="B5241" s="1" t="n">
        <v>44990</v>
      </c>
      <c r="C5241" s="1" t="n">
        <v>45210</v>
      </c>
      <c r="D5241" t="inlineStr">
        <is>
          <t>DALARNAS LÄN</t>
        </is>
      </c>
      <c r="E5241" t="inlineStr">
        <is>
          <t>LEKSAND</t>
        </is>
      </c>
      <c r="G5241" t="n">
        <v>1.7</v>
      </c>
      <c r="H5241" t="n">
        <v>0</v>
      </c>
      <c r="I5241" t="n">
        <v>0</v>
      </c>
      <c r="J5241" t="n">
        <v>0</v>
      </c>
      <c r="K5241" t="n">
        <v>0</v>
      </c>
      <c r="L5241" t="n">
        <v>0</v>
      </c>
      <c r="M5241" t="n">
        <v>0</v>
      </c>
      <c r="N5241" t="n">
        <v>0</v>
      </c>
      <c r="O5241" t="n">
        <v>0</v>
      </c>
      <c r="P5241" t="n">
        <v>0</v>
      </c>
      <c r="Q5241" t="n">
        <v>0</v>
      </c>
      <c r="R5241" s="2" t="inlineStr"/>
    </row>
    <row r="5242" ht="15" customHeight="1">
      <c r="A5242" t="inlineStr">
        <is>
          <t>A 10896-2023</t>
        </is>
      </c>
      <c r="B5242" s="1" t="n">
        <v>44991</v>
      </c>
      <c r="C5242" s="1" t="n">
        <v>45210</v>
      </c>
      <c r="D5242" t="inlineStr">
        <is>
          <t>DALARNAS LÄN</t>
        </is>
      </c>
      <c r="E5242" t="inlineStr">
        <is>
          <t>LEKSAND</t>
        </is>
      </c>
      <c r="G5242" t="n">
        <v>4.1</v>
      </c>
      <c r="H5242" t="n">
        <v>0</v>
      </c>
      <c r="I5242" t="n">
        <v>0</v>
      </c>
      <c r="J5242" t="n">
        <v>0</v>
      </c>
      <c r="K5242" t="n">
        <v>0</v>
      </c>
      <c r="L5242" t="n">
        <v>0</v>
      </c>
      <c r="M5242" t="n">
        <v>0</v>
      </c>
      <c r="N5242" t="n">
        <v>0</v>
      </c>
      <c r="O5242" t="n">
        <v>0</v>
      </c>
      <c r="P5242" t="n">
        <v>0</v>
      </c>
      <c r="Q5242" t="n">
        <v>0</v>
      </c>
      <c r="R5242" s="2" t="inlineStr"/>
    </row>
    <row r="5243" ht="15" customHeight="1">
      <c r="A5243" t="inlineStr">
        <is>
          <t>A 10869-2023</t>
        </is>
      </c>
      <c r="B5243" s="1" t="n">
        <v>44991</v>
      </c>
      <c r="C5243" s="1" t="n">
        <v>45210</v>
      </c>
      <c r="D5243" t="inlineStr">
        <is>
          <t>DALARNAS LÄN</t>
        </is>
      </c>
      <c r="E5243" t="inlineStr">
        <is>
          <t>LEKSAND</t>
        </is>
      </c>
      <c r="G5243" t="n">
        <v>2.1</v>
      </c>
      <c r="H5243" t="n">
        <v>0</v>
      </c>
      <c r="I5243" t="n">
        <v>0</v>
      </c>
      <c r="J5243" t="n">
        <v>0</v>
      </c>
      <c r="K5243" t="n">
        <v>0</v>
      </c>
      <c r="L5243" t="n">
        <v>0</v>
      </c>
      <c r="M5243" t="n">
        <v>0</v>
      </c>
      <c r="N5243" t="n">
        <v>0</v>
      </c>
      <c r="O5243" t="n">
        <v>0</v>
      </c>
      <c r="P5243" t="n">
        <v>0</v>
      </c>
      <c r="Q5243" t="n">
        <v>0</v>
      </c>
      <c r="R5243" s="2" t="inlineStr"/>
    </row>
    <row r="5244" ht="15" customHeight="1">
      <c r="A5244" t="inlineStr">
        <is>
          <t>A 10987-2023</t>
        </is>
      </c>
      <c r="B5244" s="1" t="n">
        <v>44991</v>
      </c>
      <c r="C5244" s="1" t="n">
        <v>45210</v>
      </c>
      <c r="D5244" t="inlineStr">
        <is>
          <t>DALARNAS LÄN</t>
        </is>
      </c>
      <c r="E5244" t="inlineStr">
        <is>
          <t>LEKSAND</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10921-2023</t>
        </is>
      </c>
      <c r="B5245" s="1" t="n">
        <v>44991</v>
      </c>
      <c r="C5245" s="1" t="n">
        <v>45210</v>
      </c>
      <c r="D5245" t="inlineStr">
        <is>
          <t>DALARNAS LÄN</t>
        </is>
      </c>
      <c r="E5245" t="inlineStr">
        <is>
          <t>LEKSAND</t>
        </is>
      </c>
      <c r="G5245" t="n">
        <v>4.4</v>
      </c>
      <c r="H5245" t="n">
        <v>0</v>
      </c>
      <c r="I5245" t="n">
        <v>0</v>
      </c>
      <c r="J5245" t="n">
        <v>0</v>
      </c>
      <c r="K5245" t="n">
        <v>0</v>
      </c>
      <c r="L5245" t="n">
        <v>0</v>
      </c>
      <c r="M5245" t="n">
        <v>0</v>
      </c>
      <c r="N5245" t="n">
        <v>0</v>
      </c>
      <c r="O5245" t="n">
        <v>0</v>
      </c>
      <c r="P5245" t="n">
        <v>0</v>
      </c>
      <c r="Q5245" t="n">
        <v>0</v>
      </c>
      <c r="R5245" s="2" t="inlineStr"/>
    </row>
    <row r="5246" ht="15" customHeight="1">
      <c r="A5246" t="inlineStr">
        <is>
          <t>A 11110-2023</t>
        </is>
      </c>
      <c r="B5246" s="1" t="n">
        <v>44992</v>
      </c>
      <c r="C5246" s="1" t="n">
        <v>45210</v>
      </c>
      <c r="D5246" t="inlineStr">
        <is>
          <t>DALARNAS LÄN</t>
        </is>
      </c>
      <c r="E5246" t="inlineStr">
        <is>
          <t>LEKSAND</t>
        </is>
      </c>
      <c r="G5246" t="n">
        <v>11.2</v>
      </c>
      <c r="H5246" t="n">
        <v>0</v>
      </c>
      <c r="I5246" t="n">
        <v>0</v>
      </c>
      <c r="J5246" t="n">
        <v>0</v>
      </c>
      <c r="K5246" t="n">
        <v>0</v>
      </c>
      <c r="L5246" t="n">
        <v>0</v>
      </c>
      <c r="M5246" t="n">
        <v>0</v>
      </c>
      <c r="N5246" t="n">
        <v>0</v>
      </c>
      <c r="O5246" t="n">
        <v>0</v>
      </c>
      <c r="P5246" t="n">
        <v>0</v>
      </c>
      <c r="Q5246" t="n">
        <v>0</v>
      </c>
      <c r="R5246" s="2" t="inlineStr"/>
    </row>
    <row r="5247" ht="15" customHeight="1">
      <c r="A5247" t="inlineStr">
        <is>
          <t>A 11136-2023</t>
        </is>
      </c>
      <c r="B5247" s="1" t="n">
        <v>44992</v>
      </c>
      <c r="C5247" s="1" t="n">
        <v>45210</v>
      </c>
      <c r="D5247" t="inlineStr">
        <is>
          <t>DALARNAS LÄN</t>
        </is>
      </c>
      <c r="E5247" t="inlineStr">
        <is>
          <t>BORLÄNGE</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11138-2023</t>
        </is>
      </c>
      <c r="B5248" s="1" t="n">
        <v>44992</v>
      </c>
      <c r="C5248" s="1" t="n">
        <v>45210</v>
      </c>
      <c r="D5248" t="inlineStr">
        <is>
          <t>DALARNAS LÄN</t>
        </is>
      </c>
      <c r="E5248" t="inlineStr">
        <is>
          <t>BORLÄNGE</t>
        </is>
      </c>
      <c r="G5248" t="n">
        <v>1.7</v>
      </c>
      <c r="H5248" t="n">
        <v>0</v>
      </c>
      <c r="I5248" t="n">
        <v>0</v>
      </c>
      <c r="J5248" t="n">
        <v>0</v>
      </c>
      <c r="K5248" t="n">
        <v>0</v>
      </c>
      <c r="L5248" t="n">
        <v>0</v>
      </c>
      <c r="M5248" t="n">
        <v>0</v>
      </c>
      <c r="N5248" t="n">
        <v>0</v>
      </c>
      <c r="O5248" t="n">
        <v>0</v>
      </c>
      <c r="P5248" t="n">
        <v>0</v>
      </c>
      <c r="Q5248" t="n">
        <v>0</v>
      </c>
      <c r="R5248" s="2" t="inlineStr"/>
    </row>
    <row r="5249" ht="15" customHeight="1">
      <c r="A5249" t="inlineStr">
        <is>
          <t>A 11164-2023</t>
        </is>
      </c>
      <c r="B5249" s="1" t="n">
        <v>44992</v>
      </c>
      <c r="C5249" s="1" t="n">
        <v>45210</v>
      </c>
      <c r="D5249" t="inlineStr">
        <is>
          <t>DALARNAS LÄN</t>
        </is>
      </c>
      <c r="E5249" t="inlineStr">
        <is>
          <t>SÄTER</t>
        </is>
      </c>
      <c r="G5249" t="n">
        <v>7.6</v>
      </c>
      <c r="H5249" t="n">
        <v>0</v>
      </c>
      <c r="I5249" t="n">
        <v>0</v>
      </c>
      <c r="J5249" t="n">
        <v>0</v>
      </c>
      <c r="K5249" t="n">
        <v>0</v>
      </c>
      <c r="L5249" t="n">
        <v>0</v>
      </c>
      <c r="M5249" t="n">
        <v>0</v>
      </c>
      <c r="N5249" t="n">
        <v>0</v>
      </c>
      <c r="O5249" t="n">
        <v>0</v>
      </c>
      <c r="P5249" t="n">
        <v>0</v>
      </c>
      <c r="Q5249" t="n">
        <v>0</v>
      </c>
      <c r="R5249" s="2" t="inlineStr"/>
    </row>
    <row r="5250" ht="15" customHeight="1">
      <c r="A5250" t="inlineStr">
        <is>
          <t>A 11105-2023</t>
        </is>
      </c>
      <c r="B5250" s="1" t="n">
        <v>44992</v>
      </c>
      <c r="C5250" s="1" t="n">
        <v>45210</v>
      </c>
      <c r="D5250" t="inlineStr">
        <is>
          <t>DALARNAS LÄN</t>
        </is>
      </c>
      <c r="E5250" t="inlineStr">
        <is>
          <t>BORLÄNGE</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11238-2023</t>
        </is>
      </c>
      <c r="B5251" s="1" t="n">
        <v>44992</v>
      </c>
      <c r="C5251" s="1" t="n">
        <v>45210</v>
      </c>
      <c r="D5251" t="inlineStr">
        <is>
          <t>DALARNAS LÄN</t>
        </is>
      </c>
      <c r="E5251" t="inlineStr">
        <is>
          <t>LEKSAND</t>
        </is>
      </c>
      <c r="G5251" t="n">
        <v>1.5</v>
      </c>
      <c r="H5251" t="n">
        <v>0</v>
      </c>
      <c r="I5251" t="n">
        <v>0</v>
      </c>
      <c r="J5251" t="n">
        <v>0</v>
      </c>
      <c r="K5251" t="n">
        <v>0</v>
      </c>
      <c r="L5251" t="n">
        <v>0</v>
      </c>
      <c r="M5251" t="n">
        <v>0</v>
      </c>
      <c r="N5251" t="n">
        <v>0</v>
      </c>
      <c r="O5251" t="n">
        <v>0</v>
      </c>
      <c r="P5251" t="n">
        <v>0</v>
      </c>
      <c r="Q5251" t="n">
        <v>0</v>
      </c>
      <c r="R5251" s="2" t="inlineStr"/>
    </row>
    <row r="5252" ht="15" customHeight="1">
      <c r="A5252" t="inlineStr">
        <is>
          <t>A 11080-2023</t>
        </is>
      </c>
      <c r="B5252" s="1" t="n">
        <v>44992</v>
      </c>
      <c r="C5252" s="1" t="n">
        <v>45210</v>
      </c>
      <c r="D5252" t="inlineStr">
        <is>
          <t>DALARNAS LÄN</t>
        </is>
      </c>
      <c r="E5252" t="inlineStr">
        <is>
          <t>LEKSAND</t>
        </is>
      </c>
      <c r="G5252" t="n">
        <v>6.9</v>
      </c>
      <c r="H5252" t="n">
        <v>0</v>
      </c>
      <c r="I5252" t="n">
        <v>0</v>
      </c>
      <c r="J5252" t="n">
        <v>0</v>
      </c>
      <c r="K5252" t="n">
        <v>0</v>
      </c>
      <c r="L5252" t="n">
        <v>0</v>
      </c>
      <c r="M5252" t="n">
        <v>0</v>
      </c>
      <c r="N5252" t="n">
        <v>0</v>
      </c>
      <c r="O5252" t="n">
        <v>0</v>
      </c>
      <c r="P5252" t="n">
        <v>0</v>
      </c>
      <c r="Q5252" t="n">
        <v>0</v>
      </c>
      <c r="R5252" s="2" t="inlineStr"/>
    </row>
    <row r="5253" ht="15" customHeight="1">
      <c r="A5253" t="inlineStr">
        <is>
          <t>A 11092-2023</t>
        </is>
      </c>
      <c r="B5253" s="1" t="n">
        <v>44992</v>
      </c>
      <c r="C5253" s="1" t="n">
        <v>45210</v>
      </c>
      <c r="D5253" t="inlineStr">
        <is>
          <t>DALARNAS LÄN</t>
        </is>
      </c>
      <c r="E5253" t="inlineStr">
        <is>
          <t>LEKSAND</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11128-2023</t>
        </is>
      </c>
      <c r="B5254" s="1" t="n">
        <v>44992</v>
      </c>
      <c r="C5254" s="1" t="n">
        <v>45210</v>
      </c>
      <c r="D5254" t="inlineStr">
        <is>
          <t>DALARNAS LÄN</t>
        </is>
      </c>
      <c r="E5254" t="inlineStr">
        <is>
          <t>LEKSAND</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11747-2023</t>
        </is>
      </c>
      <c r="B5255" s="1" t="n">
        <v>44993</v>
      </c>
      <c r="C5255" s="1" t="n">
        <v>45210</v>
      </c>
      <c r="D5255" t="inlineStr">
        <is>
          <t>DALARNAS LÄN</t>
        </is>
      </c>
      <c r="E5255" t="inlineStr">
        <is>
          <t>LEKSAND</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11349-2023</t>
        </is>
      </c>
      <c r="B5256" s="1" t="n">
        <v>44993</v>
      </c>
      <c r="C5256" s="1" t="n">
        <v>45210</v>
      </c>
      <c r="D5256" t="inlineStr">
        <is>
          <t>DALARNAS LÄN</t>
        </is>
      </c>
      <c r="E5256" t="inlineStr">
        <is>
          <t>GAGNEF</t>
        </is>
      </c>
      <c r="G5256" t="n">
        <v>5.8</v>
      </c>
      <c r="H5256" t="n">
        <v>0</v>
      </c>
      <c r="I5256" t="n">
        <v>0</v>
      </c>
      <c r="J5256" t="n">
        <v>0</v>
      </c>
      <c r="K5256" t="n">
        <v>0</v>
      </c>
      <c r="L5256" t="n">
        <v>0</v>
      </c>
      <c r="M5256" t="n">
        <v>0</v>
      </c>
      <c r="N5256" t="n">
        <v>0</v>
      </c>
      <c r="O5256" t="n">
        <v>0</v>
      </c>
      <c r="P5256" t="n">
        <v>0</v>
      </c>
      <c r="Q5256" t="n">
        <v>0</v>
      </c>
      <c r="R5256" s="2" t="inlineStr"/>
    </row>
    <row r="5257" ht="15" customHeight="1">
      <c r="A5257" t="inlineStr">
        <is>
          <t>A 11403-2023</t>
        </is>
      </c>
      <c r="B5257" s="1" t="n">
        <v>44993</v>
      </c>
      <c r="C5257" s="1" t="n">
        <v>45210</v>
      </c>
      <c r="D5257" t="inlineStr">
        <is>
          <t>DALARNAS LÄN</t>
        </is>
      </c>
      <c r="E5257" t="inlineStr">
        <is>
          <t>LEKSAND</t>
        </is>
      </c>
      <c r="G5257" t="n">
        <v>0.1</v>
      </c>
      <c r="H5257" t="n">
        <v>0</v>
      </c>
      <c r="I5257" t="n">
        <v>0</v>
      </c>
      <c r="J5257" t="n">
        <v>0</v>
      </c>
      <c r="K5257" t="n">
        <v>0</v>
      </c>
      <c r="L5257" t="n">
        <v>0</v>
      </c>
      <c r="M5257" t="n">
        <v>0</v>
      </c>
      <c r="N5257" t="n">
        <v>0</v>
      </c>
      <c r="O5257" t="n">
        <v>0</v>
      </c>
      <c r="P5257" t="n">
        <v>0</v>
      </c>
      <c r="Q5257" t="n">
        <v>0</v>
      </c>
      <c r="R5257" s="2" t="inlineStr"/>
    </row>
    <row r="5258" ht="15" customHeight="1">
      <c r="A5258" t="inlineStr">
        <is>
          <t>A 11418-2023</t>
        </is>
      </c>
      <c r="B5258" s="1" t="n">
        <v>44993</v>
      </c>
      <c r="C5258" s="1" t="n">
        <v>45210</v>
      </c>
      <c r="D5258" t="inlineStr">
        <is>
          <t>DALARNAS LÄN</t>
        </is>
      </c>
      <c r="E5258" t="inlineStr">
        <is>
          <t>LEKSAND</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11913-2023</t>
        </is>
      </c>
      <c r="B5259" s="1" t="n">
        <v>44993</v>
      </c>
      <c r="C5259" s="1" t="n">
        <v>45210</v>
      </c>
      <c r="D5259" t="inlineStr">
        <is>
          <t>DALARNAS LÄN</t>
        </is>
      </c>
      <c r="E5259" t="inlineStr">
        <is>
          <t>LEKSAND</t>
        </is>
      </c>
      <c r="G5259" t="n">
        <v>7</v>
      </c>
      <c r="H5259" t="n">
        <v>0</v>
      </c>
      <c r="I5259" t="n">
        <v>0</v>
      </c>
      <c r="J5259" t="n">
        <v>0</v>
      </c>
      <c r="K5259" t="n">
        <v>0</v>
      </c>
      <c r="L5259" t="n">
        <v>0</v>
      </c>
      <c r="M5259" t="n">
        <v>0</v>
      </c>
      <c r="N5259" t="n">
        <v>0</v>
      </c>
      <c r="O5259" t="n">
        <v>0</v>
      </c>
      <c r="P5259" t="n">
        <v>0</v>
      </c>
      <c r="Q5259" t="n">
        <v>0</v>
      </c>
      <c r="R5259" s="2" t="inlineStr"/>
    </row>
    <row r="5260" ht="15" customHeight="1">
      <c r="A5260" t="inlineStr">
        <is>
          <t>A 11354-2023</t>
        </is>
      </c>
      <c r="B5260" s="1" t="n">
        <v>44993</v>
      </c>
      <c r="C5260" s="1" t="n">
        <v>45210</v>
      </c>
      <c r="D5260" t="inlineStr">
        <is>
          <t>DALARNAS LÄN</t>
        </is>
      </c>
      <c r="E5260" t="inlineStr">
        <is>
          <t>GAGNEF</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11592-2023</t>
        </is>
      </c>
      <c r="B5261" s="1" t="n">
        <v>44994</v>
      </c>
      <c r="C5261" s="1" t="n">
        <v>45210</v>
      </c>
      <c r="D5261" t="inlineStr">
        <is>
          <t>DALARNAS LÄN</t>
        </is>
      </c>
      <c r="E5261" t="inlineStr">
        <is>
          <t>LEKSAND</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11678-2023</t>
        </is>
      </c>
      <c r="B5262" s="1" t="n">
        <v>44994</v>
      </c>
      <c r="C5262" s="1" t="n">
        <v>45210</v>
      </c>
      <c r="D5262" t="inlineStr">
        <is>
          <t>DALARNAS LÄN</t>
        </is>
      </c>
      <c r="E5262" t="inlineStr">
        <is>
          <t>LEKSAND</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11588-2023</t>
        </is>
      </c>
      <c r="B5263" s="1" t="n">
        <v>44994</v>
      </c>
      <c r="C5263" s="1" t="n">
        <v>45210</v>
      </c>
      <c r="D5263" t="inlineStr">
        <is>
          <t>DALARNAS LÄN</t>
        </is>
      </c>
      <c r="E5263" t="inlineStr">
        <is>
          <t>FALUN</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11582-2023</t>
        </is>
      </c>
      <c r="B5264" s="1" t="n">
        <v>44994</v>
      </c>
      <c r="C5264" s="1" t="n">
        <v>45210</v>
      </c>
      <c r="D5264" t="inlineStr">
        <is>
          <t>DALARNAS LÄN</t>
        </is>
      </c>
      <c r="E5264" t="inlineStr">
        <is>
          <t>LEKSAND</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11595-2023</t>
        </is>
      </c>
      <c r="B5265" s="1" t="n">
        <v>44994</v>
      </c>
      <c r="C5265" s="1" t="n">
        <v>45210</v>
      </c>
      <c r="D5265" t="inlineStr">
        <is>
          <t>DALARNAS LÄN</t>
        </is>
      </c>
      <c r="E5265" t="inlineStr">
        <is>
          <t>ORSA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11755-2023</t>
        </is>
      </c>
      <c r="B5266" s="1" t="n">
        <v>44994</v>
      </c>
      <c r="C5266" s="1" t="n">
        <v>45210</v>
      </c>
      <c r="D5266" t="inlineStr">
        <is>
          <t>DALARNAS LÄN</t>
        </is>
      </c>
      <c r="E5266" t="inlineStr">
        <is>
          <t>LUDVIKA</t>
        </is>
      </c>
      <c r="F5266" t="inlineStr">
        <is>
          <t>Övriga Aktiebolag</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11797-2023</t>
        </is>
      </c>
      <c r="B5267" s="1" t="n">
        <v>44994</v>
      </c>
      <c r="C5267" s="1" t="n">
        <v>45210</v>
      </c>
      <c r="D5267" t="inlineStr">
        <is>
          <t>DALARNAS LÄN</t>
        </is>
      </c>
      <c r="E5267" t="inlineStr">
        <is>
          <t>LUDVIKA</t>
        </is>
      </c>
      <c r="G5267" t="n">
        <v>0.7</v>
      </c>
      <c r="H5267" t="n">
        <v>0</v>
      </c>
      <c r="I5267" t="n">
        <v>0</v>
      </c>
      <c r="J5267" t="n">
        <v>0</v>
      </c>
      <c r="K5267" t="n">
        <v>0</v>
      </c>
      <c r="L5267" t="n">
        <v>0</v>
      </c>
      <c r="M5267" t="n">
        <v>0</v>
      </c>
      <c r="N5267" t="n">
        <v>0</v>
      </c>
      <c r="O5267" t="n">
        <v>0</v>
      </c>
      <c r="P5267" t="n">
        <v>0</v>
      </c>
      <c r="Q5267" t="n">
        <v>0</v>
      </c>
      <c r="R5267" s="2" t="inlineStr"/>
    </row>
    <row r="5268" ht="15" customHeight="1">
      <c r="A5268" t="inlineStr">
        <is>
          <t>A 11842-2023</t>
        </is>
      </c>
      <c r="B5268" s="1" t="n">
        <v>44995</v>
      </c>
      <c r="C5268" s="1" t="n">
        <v>45210</v>
      </c>
      <c r="D5268" t="inlineStr">
        <is>
          <t>DALARNAS LÄN</t>
        </is>
      </c>
      <c r="E5268" t="inlineStr">
        <is>
          <t>GAGNEF</t>
        </is>
      </c>
      <c r="G5268" t="n">
        <v>3.6</v>
      </c>
      <c r="H5268" t="n">
        <v>0</v>
      </c>
      <c r="I5268" t="n">
        <v>0</v>
      </c>
      <c r="J5268" t="n">
        <v>0</v>
      </c>
      <c r="K5268" t="n">
        <v>0</v>
      </c>
      <c r="L5268" t="n">
        <v>0</v>
      </c>
      <c r="M5268" t="n">
        <v>0</v>
      </c>
      <c r="N5268" t="n">
        <v>0</v>
      </c>
      <c r="O5268" t="n">
        <v>0</v>
      </c>
      <c r="P5268" t="n">
        <v>0</v>
      </c>
      <c r="Q5268" t="n">
        <v>0</v>
      </c>
      <c r="R5268" s="2" t="inlineStr"/>
    </row>
    <row r="5269" ht="15" customHeight="1">
      <c r="A5269" t="inlineStr">
        <is>
          <t>A 11857-2023</t>
        </is>
      </c>
      <c r="B5269" s="1" t="n">
        <v>44995</v>
      </c>
      <c r="C5269" s="1" t="n">
        <v>45210</v>
      </c>
      <c r="D5269" t="inlineStr">
        <is>
          <t>DALARNAS LÄN</t>
        </is>
      </c>
      <c r="E5269" t="inlineStr">
        <is>
          <t>MORA</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12027-2023</t>
        </is>
      </c>
      <c r="B5270" s="1" t="n">
        <v>44995</v>
      </c>
      <c r="C5270" s="1" t="n">
        <v>45210</v>
      </c>
      <c r="D5270" t="inlineStr">
        <is>
          <t>DALARNAS LÄN</t>
        </is>
      </c>
      <c r="E5270" t="inlineStr">
        <is>
          <t>SMEDJEBACKEN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12065-2023</t>
        </is>
      </c>
      <c r="B5271" s="1" t="n">
        <v>44997</v>
      </c>
      <c r="C5271" s="1" t="n">
        <v>45210</v>
      </c>
      <c r="D5271" t="inlineStr">
        <is>
          <t>DALARNAS LÄN</t>
        </is>
      </c>
      <c r="E5271" t="inlineStr">
        <is>
          <t>ORSA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12259-2023</t>
        </is>
      </c>
      <c r="B5272" s="1" t="n">
        <v>44998</v>
      </c>
      <c r="C5272" s="1" t="n">
        <v>45210</v>
      </c>
      <c r="D5272" t="inlineStr">
        <is>
          <t>DALARNAS LÄN</t>
        </is>
      </c>
      <c r="E5272" t="inlineStr">
        <is>
          <t>HEDEMORA</t>
        </is>
      </c>
      <c r="F5272" t="inlineStr">
        <is>
          <t>Bergvik skog väst AB</t>
        </is>
      </c>
      <c r="G5272" t="n">
        <v>1.3</v>
      </c>
      <c r="H5272" t="n">
        <v>0</v>
      </c>
      <c r="I5272" t="n">
        <v>0</v>
      </c>
      <c r="J5272" t="n">
        <v>0</v>
      </c>
      <c r="K5272" t="n">
        <v>0</v>
      </c>
      <c r="L5272" t="n">
        <v>0</v>
      </c>
      <c r="M5272" t="n">
        <v>0</v>
      </c>
      <c r="N5272" t="n">
        <v>0</v>
      </c>
      <c r="O5272" t="n">
        <v>0</v>
      </c>
      <c r="P5272" t="n">
        <v>0</v>
      </c>
      <c r="Q5272" t="n">
        <v>0</v>
      </c>
      <c r="R5272" s="2" t="inlineStr"/>
    </row>
    <row r="5273" ht="15" customHeight="1">
      <c r="A5273" t="inlineStr">
        <is>
          <t>A 12363-2023</t>
        </is>
      </c>
      <c r="B5273" s="1" t="n">
        <v>44998</v>
      </c>
      <c r="C5273" s="1" t="n">
        <v>45210</v>
      </c>
      <c r="D5273" t="inlineStr">
        <is>
          <t>DALARNAS LÄN</t>
        </is>
      </c>
      <c r="E5273" t="inlineStr">
        <is>
          <t>LEKSAND</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12117-2023</t>
        </is>
      </c>
      <c r="B5274" s="1" t="n">
        <v>44998</v>
      </c>
      <c r="C5274" s="1" t="n">
        <v>45210</v>
      </c>
      <c r="D5274" t="inlineStr">
        <is>
          <t>DALARNAS LÄN</t>
        </is>
      </c>
      <c r="E5274" t="inlineStr">
        <is>
          <t>LEKSAND</t>
        </is>
      </c>
      <c r="G5274" t="n">
        <v>2.5</v>
      </c>
      <c r="H5274" t="n">
        <v>0</v>
      </c>
      <c r="I5274" t="n">
        <v>0</v>
      </c>
      <c r="J5274" t="n">
        <v>0</v>
      </c>
      <c r="K5274" t="n">
        <v>0</v>
      </c>
      <c r="L5274" t="n">
        <v>0</v>
      </c>
      <c r="M5274" t="n">
        <v>0</v>
      </c>
      <c r="N5274" t="n">
        <v>0</v>
      </c>
      <c r="O5274" t="n">
        <v>0</v>
      </c>
      <c r="P5274" t="n">
        <v>0</v>
      </c>
      <c r="Q5274" t="n">
        <v>0</v>
      </c>
      <c r="R5274" s="2" t="inlineStr"/>
    </row>
    <row r="5275" ht="15" customHeight="1">
      <c r="A5275" t="inlineStr">
        <is>
          <t>A 12356-2023</t>
        </is>
      </c>
      <c r="B5275" s="1" t="n">
        <v>44998</v>
      </c>
      <c r="C5275" s="1" t="n">
        <v>45210</v>
      </c>
      <c r="D5275" t="inlineStr">
        <is>
          <t>DALARNAS LÄN</t>
        </is>
      </c>
      <c r="E5275" t="inlineStr">
        <is>
          <t>LEKSAND</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12448-2023</t>
        </is>
      </c>
      <c r="B5276" s="1" t="n">
        <v>44999</v>
      </c>
      <c r="C5276" s="1" t="n">
        <v>45210</v>
      </c>
      <c r="D5276" t="inlineStr">
        <is>
          <t>DALARNAS LÄN</t>
        </is>
      </c>
      <c r="E5276" t="inlineStr">
        <is>
          <t>BORLÄNGE</t>
        </is>
      </c>
      <c r="F5276" t="inlineStr">
        <is>
          <t>Bergvik skog väst AB</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12414-2023</t>
        </is>
      </c>
      <c r="B5277" s="1" t="n">
        <v>44999</v>
      </c>
      <c r="C5277" s="1" t="n">
        <v>45210</v>
      </c>
      <c r="D5277" t="inlineStr">
        <is>
          <t>DALARNAS LÄN</t>
        </is>
      </c>
      <c r="E5277" t="inlineStr">
        <is>
          <t>LEKSAND</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12446-2023</t>
        </is>
      </c>
      <c r="B5278" s="1" t="n">
        <v>44999</v>
      </c>
      <c r="C5278" s="1" t="n">
        <v>45210</v>
      </c>
      <c r="D5278" t="inlineStr">
        <is>
          <t>DALARNAS LÄN</t>
        </is>
      </c>
      <c r="E5278" t="inlineStr">
        <is>
          <t>BORLÄNGE</t>
        </is>
      </c>
      <c r="F5278" t="inlineStr">
        <is>
          <t>Bergvik skog väst AB</t>
        </is>
      </c>
      <c r="G5278" t="n">
        <v>6</v>
      </c>
      <c r="H5278" t="n">
        <v>0</v>
      </c>
      <c r="I5278" t="n">
        <v>0</v>
      </c>
      <c r="J5278" t="n">
        <v>0</v>
      </c>
      <c r="K5278" t="n">
        <v>0</v>
      </c>
      <c r="L5278" t="n">
        <v>0</v>
      </c>
      <c r="M5278" t="n">
        <v>0</v>
      </c>
      <c r="N5278" t="n">
        <v>0</v>
      </c>
      <c r="O5278" t="n">
        <v>0</v>
      </c>
      <c r="P5278" t="n">
        <v>0</v>
      </c>
      <c r="Q5278" t="n">
        <v>0</v>
      </c>
      <c r="R5278" s="2" t="inlineStr"/>
    </row>
    <row r="5279" ht="15" customHeight="1">
      <c r="A5279" t="inlineStr">
        <is>
          <t>A 12790-2023</t>
        </is>
      </c>
      <c r="B5279" s="1" t="n">
        <v>45001</v>
      </c>
      <c r="C5279" s="1" t="n">
        <v>45210</v>
      </c>
      <c r="D5279" t="inlineStr">
        <is>
          <t>DALARNAS LÄN</t>
        </is>
      </c>
      <c r="E5279" t="inlineStr">
        <is>
          <t>MORA</t>
        </is>
      </c>
      <c r="G5279" t="n">
        <v>12.3</v>
      </c>
      <c r="H5279" t="n">
        <v>0</v>
      </c>
      <c r="I5279" t="n">
        <v>0</v>
      </c>
      <c r="J5279" t="n">
        <v>0</v>
      </c>
      <c r="K5279" t="n">
        <v>0</v>
      </c>
      <c r="L5279" t="n">
        <v>0</v>
      </c>
      <c r="M5279" t="n">
        <v>0</v>
      </c>
      <c r="N5279" t="n">
        <v>0</v>
      </c>
      <c r="O5279" t="n">
        <v>0</v>
      </c>
      <c r="P5279" t="n">
        <v>0</v>
      </c>
      <c r="Q5279" t="n">
        <v>0</v>
      </c>
      <c r="R5279" s="2" t="inlineStr"/>
    </row>
    <row r="5280" ht="15" customHeight="1">
      <c r="A5280" t="inlineStr">
        <is>
          <t>A 12828-2023</t>
        </is>
      </c>
      <c r="B5280" s="1" t="n">
        <v>45001</v>
      </c>
      <c r="C5280" s="1" t="n">
        <v>45210</v>
      </c>
      <c r="D5280" t="inlineStr">
        <is>
          <t>DALARNAS LÄN</t>
        </is>
      </c>
      <c r="E5280" t="inlineStr">
        <is>
          <t>MORA</t>
        </is>
      </c>
      <c r="F5280" t="inlineStr">
        <is>
          <t>Bergvik skog väst AB</t>
        </is>
      </c>
      <c r="G5280" t="n">
        <v>5.4</v>
      </c>
      <c r="H5280" t="n">
        <v>0</v>
      </c>
      <c r="I5280" t="n">
        <v>0</v>
      </c>
      <c r="J5280" t="n">
        <v>0</v>
      </c>
      <c r="K5280" t="n">
        <v>0</v>
      </c>
      <c r="L5280" t="n">
        <v>0</v>
      </c>
      <c r="M5280" t="n">
        <v>0</v>
      </c>
      <c r="N5280" t="n">
        <v>0</v>
      </c>
      <c r="O5280" t="n">
        <v>0</v>
      </c>
      <c r="P5280" t="n">
        <v>0</v>
      </c>
      <c r="Q5280" t="n">
        <v>0</v>
      </c>
      <c r="R5280" s="2" t="inlineStr"/>
    </row>
    <row r="5281" ht="15" customHeight="1">
      <c r="A5281" t="inlineStr">
        <is>
          <t>A 12852-2023</t>
        </is>
      </c>
      <c r="B5281" s="1" t="n">
        <v>45001</v>
      </c>
      <c r="C5281" s="1" t="n">
        <v>45210</v>
      </c>
      <c r="D5281" t="inlineStr">
        <is>
          <t>DALARNAS LÄN</t>
        </is>
      </c>
      <c r="E5281" t="inlineStr">
        <is>
          <t>LUDVIKA</t>
        </is>
      </c>
      <c r="G5281" t="n">
        <v>2.9</v>
      </c>
      <c r="H5281" t="n">
        <v>0</v>
      </c>
      <c r="I5281" t="n">
        <v>0</v>
      </c>
      <c r="J5281" t="n">
        <v>0</v>
      </c>
      <c r="K5281" t="n">
        <v>0</v>
      </c>
      <c r="L5281" t="n">
        <v>0</v>
      </c>
      <c r="M5281" t="n">
        <v>0</v>
      </c>
      <c r="N5281" t="n">
        <v>0</v>
      </c>
      <c r="O5281" t="n">
        <v>0</v>
      </c>
      <c r="P5281" t="n">
        <v>0</v>
      </c>
      <c r="Q5281" t="n">
        <v>0</v>
      </c>
      <c r="R5281" s="2" t="inlineStr"/>
    </row>
    <row r="5282" ht="15" customHeight="1">
      <c r="A5282" t="inlineStr">
        <is>
          <t>A 12927-2023</t>
        </is>
      </c>
      <c r="B5282" s="1" t="n">
        <v>45001</v>
      </c>
      <c r="C5282" s="1" t="n">
        <v>45210</v>
      </c>
      <c r="D5282" t="inlineStr">
        <is>
          <t>DALARNAS LÄN</t>
        </is>
      </c>
      <c r="E5282" t="inlineStr">
        <is>
          <t>FALUN</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13027-2023</t>
        </is>
      </c>
      <c r="B5283" s="1" t="n">
        <v>45001</v>
      </c>
      <c r="C5283" s="1" t="n">
        <v>45210</v>
      </c>
      <c r="D5283" t="inlineStr">
        <is>
          <t>DALARNAS LÄN</t>
        </is>
      </c>
      <c r="E5283" t="inlineStr">
        <is>
          <t>LEKSAND</t>
        </is>
      </c>
      <c r="G5283" t="n">
        <v>2.8</v>
      </c>
      <c r="H5283" t="n">
        <v>0</v>
      </c>
      <c r="I5283" t="n">
        <v>0</v>
      </c>
      <c r="J5283" t="n">
        <v>0</v>
      </c>
      <c r="K5283" t="n">
        <v>0</v>
      </c>
      <c r="L5283" t="n">
        <v>0</v>
      </c>
      <c r="M5283" t="n">
        <v>0</v>
      </c>
      <c r="N5283" t="n">
        <v>0</v>
      </c>
      <c r="O5283" t="n">
        <v>0</v>
      </c>
      <c r="P5283" t="n">
        <v>0</v>
      </c>
      <c r="Q5283" t="n">
        <v>0</v>
      </c>
      <c r="R5283" s="2" t="inlineStr"/>
    </row>
    <row r="5284" ht="15" customHeight="1">
      <c r="A5284" t="inlineStr">
        <is>
          <t>A 13063-2023</t>
        </is>
      </c>
      <c r="B5284" s="1" t="n">
        <v>45001</v>
      </c>
      <c r="C5284" s="1" t="n">
        <v>45210</v>
      </c>
      <c r="D5284" t="inlineStr">
        <is>
          <t>DALARNAS LÄN</t>
        </is>
      </c>
      <c r="E5284" t="inlineStr">
        <is>
          <t>LEKSAND</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13079-2023</t>
        </is>
      </c>
      <c r="B5285" s="1" t="n">
        <v>45001</v>
      </c>
      <c r="C5285" s="1" t="n">
        <v>45210</v>
      </c>
      <c r="D5285" t="inlineStr">
        <is>
          <t>DALARNAS LÄN</t>
        </is>
      </c>
      <c r="E5285" t="inlineStr">
        <is>
          <t>LEKSAND</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13024-2023</t>
        </is>
      </c>
      <c r="B5286" s="1" t="n">
        <v>45001</v>
      </c>
      <c r="C5286" s="1" t="n">
        <v>45210</v>
      </c>
      <c r="D5286" t="inlineStr">
        <is>
          <t>DALARNAS LÄN</t>
        </is>
      </c>
      <c r="E5286" t="inlineStr">
        <is>
          <t>LEKSAND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13124-2023</t>
        </is>
      </c>
      <c r="B5287" s="1" t="n">
        <v>45002</v>
      </c>
      <c r="C5287" s="1" t="n">
        <v>45210</v>
      </c>
      <c r="D5287" t="inlineStr">
        <is>
          <t>DALARNAS LÄN</t>
        </is>
      </c>
      <c r="E5287" t="inlineStr">
        <is>
          <t>ÄLVDALEN</t>
        </is>
      </c>
      <c r="G5287" t="n">
        <v>4.5</v>
      </c>
      <c r="H5287" t="n">
        <v>0</v>
      </c>
      <c r="I5287" t="n">
        <v>0</v>
      </c>
      <c r="J5287" t="n">
        <v>0</v>
      </c>
      <c r="K5287" t="n">
        <v>0</v>
      </c>
      <c r="L5287" t="n">
        <v>0</v>
      </c>
      <c r="M5287" t="n">
        <v>0</v>
      </c>
      <c r="N5287" t="n">
        <v>0</v>
      </c>
      <c r="O5287" t="n">
        <v>0</v>
      </c>
      <c r="P5287" t="n">
        <v>0</v>
      </c>
      <c r="Q5287" t="n">
        <v>0</v>
      </c>
      <c r="R5287" s="2" t="inlineStr"/>
    </row>
    <row r="5288" ht="15" customHeight="1">
      <c r="A5288" t="inlineStr">
        <is>
          <t>A 13180-2023</t>
        </is>
      </c>
      <c r="B5288" s="1" t="n">
        <v>45002</v>
      </c>
      <c r="C5288" s="1" t="n">
        <v>45210</v>
      </c>
      <c r="D5288" t="inlineStr">
        <is>
          <t>DALARNAS LÄN</t>
        </is>
      </c>
      <c r="E5288" t="inlineStr">
        <is>
          <t>LUDVIKA</t>
        </is>
      </c>
      <c r="F5288" t="inlineStr">
        <is>
          <t>Bergvik skog väst AB</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13397-2023</t>
        </is>
      </c>
      <c r="B5289" s="1" t="n">
        <v>45005</v>
      </c>
      <c r="C5289" s="1" t="n">
        <v>45210</v>
      </c>
      <c r="D5289" t="inlineStr">
        <is>
          <t>DALARNAS LÄN</t>
        </is>
      </c>
      <c r="E5289" t="inlineStr">
        <is>
          <t>LEKSAND</t>
        </is>
      </c>
      <c r="G5289" t="n">
        <v>2.6</v>
      </c>
      <c r="H5289" t="n">
        <v>0</v>
      </c>
      <c r="I5289" t="n">
        <v>0</v>
      </c>
      <c r="J5289" t="n">
        <v>0</v>
      </c>
      <c r="K5289" t="n">
        <v>0</v>
      </c>
      <c r="L5289" t="n">
        <v>0</v>
      </c>
      <c r="M5289" t="n">
        <v>0</v>
      </c>
      <c r="N5289" t="n">
        <v>0</v>
      </c>
      <c r="O5289" t="n">
        <v>0</v>
      </c>
      <c r="P5289" t="n">
        <v>0</v>
      </c>
      <c r="Q5289" t="n">
        <v>0</v>
      </c>
      <c r="R5289" s="2" t="inlineStr"/>
    </row>
    <row r="5290" ht="15" customHeight="1">
      <c r="A5290" t="inlineStr">
        <is>
          <t>A 13339-2023</t>
        </is>
      </c>
      <c r="B5290" s="1" t="n">
        <v>45005</v>
      </c>
      <c r="C5290" s="1" t="n">
        <v>45210</v>
      </c>
      <c r="D5290" t="inlineStr">
        <is>
          <t>DALARNAS LÄN</t>
        </is>
      </c>
      <c r="E5290" t="inlineStr">
        <is>
          <t>SÄTER</t>
        </is>
      </c>
      <c r="G5290" t="n">
        <v>8.6</v>
      </c>
      <c r="H5290" t="n">
        <v>0</v>
      </c>
      <c r="I5290" t="n">
        <v>0</v>
      </c>
      <c r="J5290" t="n">
        <v>0</v>
      </c>
      <c r="K5290" t="n">
        <v>0</v>
      </c>
      <c r="L5290" t="n">
        <v>0</v>
      </c>
      <c r="M5290" t="n">
        <v>0</v>
      </c>
      <c r="N5290" t="n">
        <v>0</v>
      </c>
      <c r="O5290" t="n">
        <v>0</v>
      </c>
      <c r="P5290" t="n">
        <v>0</v>
      </c>
      <c r="Q5290" t="n">
        <v>0</v>
      </c>
      <c r="R5290" s="2" t="inlineStr"/>
    </row>
    <row r="5291" ht="15" customHeight="1">
      <c r="A5291" t="inlineStr">
        <is>
          <t>A 13596-2023</t>
        </is>
      </c>
      <c r="B5291" s="1" t="n">
        <v>45005</v>
      </c>
      <c r="C5291" s="1" t="n">
        <v>45210</v>
      </c>
      <c r="D5291" t="inlineStr">
        <is>
          <t>DALARNAS LÄN</t>
        </is>
      </c>
      <c r="E5291" t="inlineStr">
        <is>
          <t>HEDEMORA</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13376-2023</t>
        </is>
      </c>
      <c r="B5292" s="1" t="n">
        <v>45005</v>
      </c>
      <c r="C5292" s="1" t="n">
        <v>45210</v>
      </c>
      <c r="D5292" t="inlineStr">
        <is>
          <t>DALARNAS LÄN</t>
        </is>
      </c>
      <c r="E5292" t="inlineStr">
        <is>
          <t>LEKSAND</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13401-2023</t>
        </is>
      </c>
      <c r="B5293" s="1" t="n">
        <v>45005</v>
      </c>
      <c r="C5293" s="1" t="n">
        <v>45210</v>
      </c>
      <c r="D5293" t="inlineStr">
        <is>
          <t>DALARNAS LÄN</t>
        </is>
      </c>
      <c r="E5293" t="inlineStr">
        <is>
          <t>LEKSAND</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13633-2023</t>
        </is>
      </c>
      <c r="B5294" s="1" t="n">
        <v>45006</v>
      </c>
      <c r="C5294" s="1" t="n">
        <v>45210</v>
      </c>
      <c r="D5294" t="inlineStr">
        <is>
          <t>DALARNAS LÄN</t>
        </is>
      </c>
      <c r="E5294" t="inlineStr">
        <is>
          <t>SMEDJEBACKEN</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13672-2023</t>
        </is>
      </c>
      <c r="B5295" s="1" t="n">
        <v>45006</v>
      </c>
      <c r="C5295" s="1" t="n">
        <v>45210</v>
      </c>
      <c r="D5295" t="inlineStr">
        <is>
          <t>DALARNAS LÄN</t>
        </is>
      </c>
      <c r="E5295" t="inlineStr">
        <is>
          <t>SMEDJEBACKEN</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14030-2023</t>
        </is>
      </c>
      <c r="B5296" s="1" t="n">
        <v>45007</v>
      </c>
      <c r="C5296" s="1" t="n">
        <v>45210</v>
      </c>
      <c r="D5296" t="inlineStr">
        <is>
          <t>DALARNAS LÄN</t>
        </is>
      </c>
      <c r="E5296" t="inlineStr">
        <is>
          <t>AVESTA</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13812-2023</t>
        </is>
      </c>
      <c r="B5297" s="1" t="n">
        <v>45007</v>
      </c>
      <c r="C5297" s="1" t="n">
        <v>45210</v>
      </c>
      <c r="D5297" t="inlineStr">
        <is>
          <t>DALARNAS LÄN</t>
        </is>
      </c>
      <c r="E5297" t="inlineStr">
        <is>
          <t>MALUNG-SÄLEN</t>
        </is>
      </c>
      <c r="G5297" t="n">
        <v>18.7</v>
      </c>
      <c r="H5297" t="n">
        <v>0</v>
      </c>
      <c r="I5297" t="n">
        <v>0</v>
      </c>
      <c r="J5297" t="n">
        <v>0</v>
      </c>
      <c r="K5297" t="n">
        <v>0</v>
      </c>
      <c r="L5297" t="n">
        <v>0</v>
      </c>
      <c r="M5297" t="n">
        <v>0</v>
      </c>
      <c r="N5297" t="n">
        <v>0</v>
      </c>
      <c r="O5297" t="n">
        <v>0</v>
      </c>
      <c r="P5297" t="n">
        <v>0</v>
      </c>
      <c r="Q5297" t="n">
        <v>0</v>
      </c>
      <c r="R5297" s="2" t="inlineStr"/>
    </row>
    <row r="5298" ht="15" customHeight="1">
      <c r="A5298" t="inlineStr">
        <is>
          <t>A 14023-2023</t>
        </is>
      </c>
      <c r="B5298" s="1" t="n">
        <v>45007</v>
      </c>
      <c r="C5298" s="1" t="n">
        <v>45210</v>
      </c>
      <c r="D5298" t="inlineStr">
        <is>
          <t>DALARNAS LÄN</t>
        </is>
      </c>
      <c r="E5298" t="inlineStr">
        <is>
          <t>AVESTA</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13717-2023</t>
        </is>
      </c>
      <c r="B5299" s="1" t="n">
        <v>45007</v>
      </c>
      <c r="C5299" s="1" t="n">
        <v>45210</v>
      </c>
      <c r="D5299" t="inlineStr">
        <is>
          <t>DALARNAS LÄN</t>
        </is>
      </c>
      <c r="E5299" t="inlineStr">
        <is>
          <t>MORA</t>
        </is>
      </c>
      <c r="G5299" t="n">
        <v>5.6</v>
      </c>
      <c r="H5299" t="n">
        <v>0</v>
      </c>
      <c r="I5299" t="n">
        <v>0</v>
      </c>
      <c r="J5299" t="n">
        <v>0</v>
      </c>
      <c r="K5299" t="n">
        <v>0</v>
      </c>
      <c r="L5299" t="n">
        <v>0</v>
      </c>
      <c r="M5299" t="n">
        <v>0</v>
      </c>
      <c r="N5299" t="n">
        <v>0</v>
      </c>
      <c r="O5299" t="n">
        <v>0</v>
      </c>
      <c r="P5299" t="n">
        <v>0</v>
      </c>
      <c r="Q5299" t="n">
        <v>0</v>
      </c>
      <c r="R5299" s="2" t="inlineStr"/>
      <c r="U5299">
        <f>HYPERLINK("https://klasma.github.io/Logging_2062/knärot/A 13717-2023.png", "A 13717-2023")</f>
        <v/>
      </c>
      <c r="V5299">
        <f>HYPERLINK("https://klasma.github.io/Logging_2062/klagomål/A 13717-2023.docx", "A 13717-2023")</f>
        <v/>
      </c>
      <c r="W5299">
        <f>HYPERLINK("https://klasma.github.io/Logging_2062/klagomålsmail/A 13717-2023.docx", "A 13717-2023")</f>
        <v/>
      </c>
      <c r="X5299">
        <f>HYPERLINK("https://klasma.github.io/Logging_2062/tillsyn/A 13717-2023.docx", "A 13717-2023")</f>
        <v/>
      </c>
      <c r="Y5299">
        <f>HYPERLINK("https://klasma.github.io/Logging_2062/tillsynsmail/A 13717-2023.docx", "A 13717-2023")</f>
        <v/>
      </c>
    </row>
    <row r="5300" ht="15" customHeight="1">
      <c r="A5300" t="inlineStr">
        <is>
          <t>A 13760-2023</t>
        </is>
      </c>
      <c r="B5300" s="1" t="n">
        <v>45007</v>
      </c>
      <c r="C5300" s="1" t="n">
        <v>45210</v>
      </c>
      <c r="D5300" t="inlineStr">
        <is>
          <t>DALARNAS LÄN</t>
        </is>
      </c>
      <c r="E5300" t="inlineStr">
        <is>
          <t>LEKSAND</t>
        </is>
      </c>
      <c r="G5300" t="n">
        <v>7.9</v>
      </c>
      <c r="H5300" t="n">
        <v>0</v>
      </c>
      <c r="I5300" t="n">
        <v>0</v>
      </c>
      <c r="J5300" t="n">
        <v>0</v>
      </c>
      <c r="K5300" t="n">
        <v>0</v>
      </c>
      <c r="L5300" t="n">
        <v>0</v>
      </c>
      <c r="M5300" t="n">
        <v>0</v>
      </c>
      <c r="N5300" t="n">
        <v>0</v>
      </c>
      <c r="O5300" t="n">
        <v>0</v>
      </c>
      <c r="P5300" t="n">
        <v>0</v>
      </c>
      <c r="Q5300" t="n">
        <v>0</v>
      </c>
      <c r="R5300" s="2" t="inlineStr"/>
    </row>
    <row r="5301" ht="15" customHeight="1">
      <c r="A5301" t="inlineStr">
        <is>
          <t>A 13823-2023</t>
        </is>
      </c>
      <c r="B5301" s="1" t="n">
        <v>45007</v>
      </c>
      <c r="C5301" s="1" t="n">
        <v>45210</v>
      </c>
      <c r="D5301" t="inlineStr">
        <is>
          <t>DALARNAS LÄN</t>
        </is>
      </c>
      <c r="E5301" t="inlineStr">
        <is>
          <t>MALUNG-SÄLEN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14027-2023</t>
        </is>
      </c>
      <c r="B5302" s="1" t="n">
        <v>45007</v>
      </c>
      <c r="C5302" s="1" t="n">
        <v>45210</v>
      </c>
      <c r="D5302" t="inlineStr">
        <is>
          <t>DALARNAS LÄN</t>
        </is>
      </c>
      <c r="E5302" t="inlineStr">
        <is>
          <t>AVESTA</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13866-2023</t>
        </is>
      </c>
      <c r="B5303" s="1" t="n">
        <v>45007</v>
      </c>
      <c r="C5303" s="1" t="n">
        <v>45210</v>
      </c>
      <c r="D5303" t="inlineStr">
        <is>
          <t>DALARNAS LÄN</t>
        </is>
      </c>
      <c r="E5303" t="inlineStr">
        <is>
          <t>SÄTER</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14021-2023</t>
        </is>
      </c>
      <c r="B5304" s="1" t="n">
        <v>45007</v>
      </c>
      <c r="C5304" s="1" t="n">
        <v>45210</v>
      </c>
      <c r="D5304" t="inlineStr">
        <is>
          <t>DALARNAS LÄN</t>
        </is>
      </c>
      <c r="E5304" t="inlineStr">
        <is>
          <t>AVESTA</t>
        </is>
      </c>
      <c r="G5304" t="n">
        <v>3</v>
      </c>
      <c r="H5304" t="n">
        <v>0</v>
      </c>
      <c r="I5304" t="n">
        <v>0</v>
      </c>
      <c r="J5304" t="n">
        <v>0</v>
      </c>
      <c r="K5304" t="n">
        <v>0</v>
      </c>
      <c r="L5304" t="n">
        <v>0</v>
      </c>
      <c r="M5304" t="n">
        <v>0</v>
      </c>
      <c r="N5304" t="n">
        <v>0</v>
      </c>
      <c r="O5304" t="n">
        <v>0</v>
      </c>
      <c r="P5304" t="n">
        <v>0</v>
      </c>
      <c r="Q5304" t="n">
        <v>0</v>
      </c>
      <c r="R5304" s="2" t="inlineStr"/>
    </row>
    <row r="5305" ht="15" customHeight="1">
      <c r="A5305" t="inlineStr">
        <is>
          <t>A 13969-2023</t>
        </is>
      </c>
      <c r="B5305" s="1" t="n">
        <v>45008</v>
      </c>
      <c r="C5305" s="1" t="n">
        <v>45210</v>
      </c>
      <c r="D5305" t="inlineStr">
        <is>
          <t>DALARNAS LÄN</t>
        </is>
      </c>
      <c r="E5305" t="inlineStr">
        <is>
          <t>BORLÄNGE</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14123-2023</t>
        </is>
      </c>
      <c r="B5306" s="1" t="n">
        <v>45008</v>
      </c>
      <c r="C5306" s="1" t="n">
        <v>45210</v>
      </c>
      <c r="D5306" t="inlineStr">
        <is>
          <t>DALARNAS LÄN</t>
        </is>
      </c>
      <c r="E5306" t="inlineStr">
        <is>
          <t>HEDEMORA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14090-2023</t>
        </is>
      </c>
      <c r="B5307" s="1" t="n">
        <v>45009</v>
      </c>
      <c r="C5307" s="1" t="n">
        <v>45210</v>
      </c>
      <c r="D5307" t="inlineStr">
        <is>
          <t>DALARNAS LÄN</t>
        </is>
      </c>
      <c r="E5307" t="inlineStr">
        <is>
          <t>AVESTA</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14224-2023</t>
        </is>
      </c>
      <c r="B5308" s="1" t="n">
        <v>45009</v>
      </c>
      <c r="C5308" s="1" t="n">
        <v>45210</v>
      </c>
      <c r="D5308" t="inlineStr">
        <is>
          <t>DALARNAS LÄN</t>
        </is>
      </c>
      <c r="E5308" t="inlineStr">
        <is>
          <t>FALUN</t>
        </is>
      </c>
      <c r="G5308" t="n">
        <v>1.3</v>
      </c>
      <c r="H5308" t="n">
        <v>0</v>
      </c>
      <c r="I5308" t="n">
        <v>0</v>
      </c>
      <c r="J5308" t="n">
        <v>0</v>
      </c>
      <c r="K5308" t="n">
        <v>0</v>
      </c>
      <c r="L5308" t="n">
        <v>0</v>
      </c>
      <c r="M5308" t="n">
        <v>0</v>
      </c>
      <c r="N5308" t="n">
        <v>0</v>
      </c>
      <c r="O5308" t="n">
        <v>0</v>
      </c>
      <c r="P5308" t="n">
        <v>0</v>
      </c>
      <c r="Q5308" t="n">
        <v>0</v>
      </c>
      <c r="R5308" s="2" t="inlineStr"/>
    </row>
    <row r="5309" ht="15" customHeight="1">
      <c r="A5309" t="inlineStr">
        <is>
          <t>A 14339-2023</t>
        </is>
      </c>
      <c r="B5309" s="1" t="n">
        <v>45012</v>
      </c>
      <c r="C5309" s="1" t="n">
        <v>45210</v>
      </c>
      <c r="D5309" t="inlineStr">
        <is>
          <t>DALARNAS LÄN</t>
        </is>
      </c>
      <c r="E5309" t="inlineStr">
        <is>
          <t>LEKSAND</t>
        </is>
      </c>
      <c r="G5309" t="n">
        <v>5.3</v>
      </c>
      <c r="H5309" t="n">
        <v>0</v>
      </c>
      <c r="I5309" t="n">
        <v>0</v>
      </c>
      <c r="J5309" t="n">
        <v>0</v>
      </c>
      <c r="K5309" t="n">
        <v>0</v>
      </c>
      <c r="L5309" t="n">
        <v>0</v>
      </c>
      <c r="M5309" t="n">
        <v>0</v>
      </c>
      <c r="N5309" t="n">
        <v>0</v>
      </c>
      <c r="O5309" t="n">
        <v>0</v>
      </c>
      <c r="P5309" t="n">
        <v>0</v>
      </c>
      <c r="Q5309" t="n">
        <v>0</v>
      </c>
      <c r="R5309" s="2" t="inlineStr"/>
    </row>
    <row r="5310" ht="15" customHeight="1">
      <c r="A5310" t="inlineStr">
        <is>
          <t>A 14462-2023</t>
        </is>
      </c>
      <c r="B5310" s="1" t="n">
        <v>45012</v>
      </c>
      <c r="C5310" s="1" t="n">
        <v>45210</v>
      </c>
      <c r="D5310" t="inlineStr">
        <is>
          <t>DALARNAS LÄN</t>
        </is>
      </c>
      <c r="E5310" t="inlineStr">
        <is>
          <t>SMEDJEBACKEN</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14484-2023</t>
        </is>
      </c>
      <c r="B5311" s="1" t="n">
        <v>45012</v>
      </c>
      <c r="C5311" s="1" t="n">
        <v>45210</v>
      </c>
      <c r="D5311" t="inlineStr">
        <is>
          <t>DALARNAS LÄN</t>
        </is>
      </c>
      <c r="E5311" t="inlineStr">
        <is>
          <t>SÄTER</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14658-2023</t>
        </is>
      </c>
      <c r="B5312" s="1" t="n">
        <v>45013</v>
      </c>
      <c r="C5312" s="1" t="n">
        <v>45210</v>
      </c>
      <c r="D5312" t="inlineStr">
        <is>
          <t>DALARNAS LÄN</t>
        </is>
      </c>
      <c r="E5312" t="inlineStr">
        <is>
          <t>SÄTER</t>
        </is>
      </c>
      <c r="G5312" t="n">
        <v>11.1</v>
      </c>
      <c r="H5312" t="n">
        <v>0</v>
      </c>
      <c r="I5312" t="n">
        <v>0</v>
      </c>
      <c r="J5312" t="n">
        <v>0</v>
      </c>
      <c r="K5312" t="n">
        <v>0</v>
      </c>
      <c r="L5312" t="n">
        <v>0</v>
      </c>
      <c r="M5312" t="n">
        <v>0</v>
      </c>
      <c r="N5312" t="n">
        <v>0</v>
      </c>
      <c r="O5312" t="n">
        <v>0</v>
      </c>
      <c r="P5312" t="n">
        <v>0</v>
      </c>
      <c r="Q5312" t="n">
        <v>0</v>
      </c>
      <c r="R5312" s="2" t="inlineStr"/>
    </row>
    <row r="5313" ht="15" customHeight="1">
      <c r="A5313" t="inlineStr">
        <is>
          <t>A 14593-2023</t>
        </is>
      </c>
      <c r="B5313" s="1" t="n">
        <v>45013</v>
      </c>
      <c r="C5313" s="1" t="n">
        <v>45210</v>
      </c>
      <c r="D5313" t="inlineStr">
        <is>
          <t>DALARNAS LÄN</t>
        </is>
      </c>
      <c r="E5313" t="inlineStr">
        <is>
          <t>HEDEMORA</t>
        </is>
      </c>
      <c r="G5313" t="n">
        <v>8.9</v>
      </c>
      <c r="H5313" t="n">
        <v>0</v>
      </c>
      <c r="I5313" t="n">
        <v>0</v>
      </c>
      <c r="J5313" t="n">
        <v>0</v>
      </c>
      <c r="K5313" t="n">
        <v>0</v>
      </c>
      <c r="L5313" t="n">
        <v>0</v>
      </c>
      <c r="M5313" t="n">
        <v>0</v>
      </c>
      <c r="N5313" t="n">
        <v>0</v>
      </c>
      <c r="O5313" t="n">
        <v>0</v>
      </c>
      <c r="P5313" t="n">
        <v>0</v>
      </c>
      <c r="Q5313" t="n">
        <v>0</v>
      </c>
      <c r="R5313" s="2" t="inlineStr"/>
    </row>
    <row r="5314" ht="15" customHeight="1">
      <c r="A5314" t="inlineStr">
        <is>
          <t>A 14632-2023</t>
        </is>
      </c>
      <c r="B5314" s="1" t="n">
        <v>45013</v>
      </c>
      <c r="C5314" s="1" t="n">
        <v>45210</v>
      </c>
      <c r="D5314" t="inlineStr">
        <is>
          <t>DALARNAS LÄN</t>
        </is>
      </c>
      <c r="E5314" t="inlineStr">
        <is>
          <t>LUDVIKA</t>
        </is>
      </c>
      <c r="F5314" t="inlineStr">
        <is>
          <t>Övriga Aktiebolag</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14641-2023</t>
        </is>
      </c>
      <c r="B5315" s="1" t="n">
        <v>45013</v>
      </c>
      <c r="C5315" s="1" t="n">
        <v>45210</v>
      </c>
      <c r="D5315" t="inlineStr">
        <is>
          <t>DALARNAS LÄN</t>
        </is>
      </c>
      <c r="E5315" t="inlineStr">
        <is>
          <t>MORA</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14809-2023</t>
        </is>
      </c>
      <c r="B5316" s="1" t="n">
        <v>45014</v>
      </c>
      <c r="C5316" s="1" t="n">
        <v>45210</v>
      </c>
      <c r="D5316" t="inlineStr">
        <is>
          <t>DALARNAS LÄN</t>
        </is>
      </c>
      <c r="E5316" t="inlineStr">
        <is>
          <t>LEKSAND</t>
        </is>
      </c>
      <c r="G5316" t="n">
        <v>4.9</v>
      </c>
      <c r="H5316" t="n">
        <v>0</v>
      </c>
      <c r="I5316" t="n">
        <v>0</v>
      </c>
      <c r="J5316" t="n">
        <v>0</v>
      </c>
      <c r="K5316" t="n">
        <v>0</v>
      </c>
      <c r="L5316" t="n">
        <v>0</v>
      </c>
      <c r="M5316" t="n">
        <v>0</v>
      </c>
      <c r="N5316" t="n">
        <v>0</v>
      </c>
      <c r="O5316" t="n">
        <v>0</v>
      </c>
      <c r="P5316" t="n">
        <v>0</v>
      </c>
      <c r="Q5316" t="n">
        <v>0</v>
      </c>
      <c r="R5316" s="2" t="inlineStr"/>
    </row>
    <row r="5317" ht="15" customHeight="1">
      <c r="A5317" t="inlineStr">
        <is>
          <t>A 14773-2023</t>
        </is>
      </c>
      <c r="B5317" s="1" t="n">
        <v>45014</v>
      </c>
      <c r="C5317" s="1" t="n">
        <v>45210</v>
      </c>
      <c r="D5317" t="inlineStr">
        <is>
          <t>DALARNAS LÄN</t>
        </is>
      </c>
      <c r="E5317" t="inlineStr">
        <is>
          <t>AVESTA</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14893-2023</t>
        </is>
      </c>
      <c r="B5318" s="1" t="n">
        <v>45015</v>
      </c>
      <c r="C5318" s="1" t="n">
        <v>45210</v>
      </c>
      <c r="D5318" t="inlineStr">
        <is>
          <t>DALARNAS LÄN</t>
        </is>
      </c>
      <c r="E5318" t="inlineStr">
        <is>
          <t>MALUNG-SÄLEN</t>
        </is>
      </c>
      <c r="G5318" t="n">
        <v>5.4</v>
      </c>
      <c r="H5318" t="n">
        <v>0</v>
      </c>
      <c r="I5318" t="n">
        <v>0</v>
      </c>
      <c r="J5318" t="n">
        <v>0</v>
      </c>
      <c r="K5318" t="n">
        <v>0</v>
      </c>
      <c r="L5318" t="n">
        <v>0</v>
      </c>
      <c r="M5318" t="n">
        <v>0</v>
      </c>
      <c r="N5318" t="n">
        <v>0</v>
      </c>
      <c r="O5318" t="n">
        <v>0</v>
      </c>
      <c r="P5318" t="n">
        <v>0</v>
      </c>
      <c r="Q5318" t="n">
        <v>0</v>
      </c>
      <c r="R5318" s="2" t="inlineStr"/>
    </row>
    <row r="5319" ht="15" customHeight="1">
      <c r="A5319" t="inlineStr">
        <is>
          <t>A 14905-2023</t>
        </is>
      </c>
      <c r="B5319" s="1" t="n">
        <v>45015</v>
      </c>
      <c r="C5319" s="1" t="n">
        <v>45210</v>
      </c>
      <c r="D5319" t="inlineStr">
        <is>
          <t>DALARNAS LÄN</t>
        </is>
      </c>
      <c r="E5319" t="inlineStr">
        <is>
          <t>MALUNG-SÄLEN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14981-2023</t>
        </is>
      </c>
      <c r="B5320" s="1" t="n">
        <v>45015</v>
      </c>
      <c r="C5320" s="1" t="n">
        <v>45210</v>
      </c>
      <c r="D5320" t="inlineStr">
        <is>
          <t>DALARNAS LÄN</t>
        </is>
      </c>
      <c r="E5320" t="inlineStr">
        <is>
          <t>MORA</t>
        </is>
      </c>
      <c r="G5320" t="n">
        <v>11.7</v>
      </c>
      <c r="H5320" t="n">
        <v>0</v>
      </c>
      <c r="I5320" t="n">
        <v>0</v>
      </c>
      <c r="J5320" t="n">
        <v>0</v>
      </c>
      <c r="K5320" t="n">
        <v>0</v>
      </c>
      <c r="L5320" t="n">
        <v>0</v>
      </c>
      <c r="M5320" t="n">
        <v>0</v>
      </c>
      <c r="N5320" t="n">
        <v>0</v>
      </c>
      <c r="O5320" t="n">
        <v>0</v>
      </c>
      <c r="P5320" t="n">
        <v>0</v>
      </c>
      <c r="Q5320" t="n">
        <v>0</v>
      </c>
      <c r="R5320" s="2" t="inlineStr"/>
    </row>
    <row r="5321" ht="15" customHeight="1">
      <c r="A5321" t="inlineStr">
        <is>
          <t>A 14995-2023</t>
        </is>
      </c>
      <c r="B5321" s="1" t="n">
        <v>45015</v>
      </c>
      <c r="C5321" s="1" t="n">
        <v>45210</v>
      </c>
      <c r="D5321" t="inlineStr">
        <is>
          <t>DALARNAS LÄN</t>
        </is>
      </c>
      <c r="E5321" t="inlineStr">
        <is>
          <t>BORLÄNGE</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15066-2023</t>
        </is>
      </c>
      <c r="B5322" s="1" t="n">
        <v>45015</v>
      </c>
      <c r="C5322" s="1" t="n">
        <v>45210</v>
      </c>
      <c r="D5322" t="inlineStr">
        <is>
          <t>DALARNAS LÄN</t>
        </is>
      </c>
      <c r="E5322" t="inlineStr">
        <is>
          <t>AVESTA</t>
        </is>
      </c>
      <c r="G5322" t="n">
        <v>5.2</v>
      </c>
      <c r="H5322" t="n">
        <v>0</v>
      </c>
      <c r="I5322" t="n">
        <v>0</v>
      </c>
      <c r="J5322" t="n">
        <v>0</v>
      </c>
      <c r="K5322" t="n">
        <v>0</v>
      </c>
      <c r="L5322" t="n">
        <v>0</v>
      </c>
      <c r="M5322" t="n">
        <v>0</v>
      </c>
      <c r="N5322" t="n">
        <v>0</v>
      </c>
      <c r="O5322" t="n">
        <v>0</v>
      </c>
      <c r="P5322" t="n">
        <v>0</v>
      </c>
      <c r="Q5322" t="n">
        <v>0</v>
      </c>
      <c r="R5322" s="2" t="inlineStr"/>
    </row>
    <row r="5323" ht="15" customHeight="1">
      <c r="A5323" t="inlineStr">
        <is>
          <t>A 14938-2023</t>
        </is>
      </c>
      <c r="B5323" s="1" t="n">
        <v>45015</v>
      </c>
      <c r="C5323" s="1" t="n">
        <v>45210</v>
      </c>
      <c r="D5323" t="inlineStr">
        <is>
          <t>DALARNAS LÄN</t>
        </is>
      </c>
      <c r="E5323" t="inlineStr">
        <is>
          <t>ÄLVDALEN</t>
        </is>
      </c>
      <c r="G5323" t="n">
        <v>1.8</v>
      </c>
      <c r="H5323" t="n">
        <v>0</v>
      </c>
      <c r="I5323" t="n">
        <v>0</v>
      </c>
      <c r="J5323" t="n">
        <v>0</v>
      </c>
      <c r="K5323" t="n">
        <v>0</v>
      </c>
      <c r="L5323" t="n">
        <v>0</v>
      </c>
      <c r="M5323" t="n">
        <v>0</v>
      </c>
      <c r="N5323" t="n">
        <v>0</v>
      </c>
      <c r="O5323" t="n">
        <v>0</v>
      </c>
      <c r="P5323" t="n">
        <v>0</v>
      </c>
      <c r="Q5323" t="n">
        <v>0</v>
      </c>
      <c r="R5323" s="2" t="inlineStr"/>
    </row>
    <row r="5324" ht="15" customHeight="1">
      <c r="A5324" t="inlineStr">
        <is>
          <t>A 14944-2023</t>
        </is>
      </c>
      <c r="B5324" s="1" t="n">
        <v>45015</v>
      </c>
      <c r="C5324" s="1" t="n">
        <v>45210</v>
      </c>
      <c r="D5324" t="inlineStr">
        <is>
          <t>DALARNAS LÄN</t>
        </is>
      </c>
      <c r="E5324" t="inlineStr">
        <is>
          <t>AVESTA</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14967-2023</t>
        </is>
      </c>
      <c r="B5325" s="1" t="n">
        <v>45015</v>
      </c>
      <c r="C5325" s="1" t="n">
        <v>45210</v>
      </c>
      <c r="D5325" t="inlineStr">
        <is>
          <t>DALARNAS LÄN</t>
        </is>
      </c>
      <c r="E5325" t="inlineStr">
        <is>
          <t>LEKSAND</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14943-2023</t>
        </is>
      </c>
      <c r="B5326" s="1" t="n">
        <v>45015</v>
      </c>
      <c r="C5326" s="1" t="n">
        <v>45210</v>
      </c>
      <c r="D5326" t="inlineStr">
        <is>
          <t>DALARNAS LÄN</t>
        </is>
      </c>
      <c r="E5326" t="inlineStr">
        <is>
          <t>LEKSAND</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15025-2023</t>
        </is>
      </c>
      <c r="B5327" s="1" t="n">
        <v>45015</v>
      </c>
      <c r="C5327" s="1" t="n">
        <v>45210</v>
      </c>
      <c r="D5327" t="inlineStr">
        <is>
          <t>DALARNAS LÄN</t>
        </is>
      </c>
      <c r="E5327" t="inlineStr">
        <is>
          <t>LEKSAND</t>
        </is>
      </c>
      <c r="G5327" t="n">
        <v>0.9</v>
      </c>
      <c r="H5327" t="n">
        <v>0</v>
      </c>
      <c r="I5327" t="n">
        <v>0</v>
      </c>
      <c r="J5327" t="n">
        <v>0</v>
      </c>
      <c r="K5327" t="n">
        <v>0</v>
      </c>
      <c r="L5327" t="n">
        <v>0</v>
      </c>
      <c r="M5327" t="n">
        <v>0</v>
      </c>
      <c r="N5327" t="n">
        <v>0</v>
      </c>
      <c r="O5327" t="n">
        <v>0</v>
      </c>
      <c r="P5327" t="n">
        <v>0</v>
      </c>
      <c r="Q5327" t="n">
        <v>0</v>
      </c>
      <c r="R5327" s="2" t="inlineStr"/>
    </row>
    <row r="5328" ht="15" customHeight="1">
      <c r="A5328" t="inlineStr">
        <is>
          <t>A 15389-2023</t>
        </is>
      </c>
      <c r="B5328" s="1" t="n">
        <v>45016</v>
      </c>
      <c r="C5328" s="1" t="n">
        <v>45210</v>
      </c>
      <c r="D5328" t="inlineStr">
        <is>
          <t>DALARNAS LÄN</t>
        </is>
      </c>
      <c r="E5328" t="inlineStr">
        <is>
          <t>BORLÄNGE</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15128-2023</t>
        </is>
      </c>
      <c r="B5329" s="1" t="n">
        <v>45016</v>
      </c>
      <c r="C5329" s="1" t="n">
        <v>45210</v>
      </c>
      <c r="D5329" t="inlineStr">
        <is>
          <t>DALARNAS LÄN</t>
        </is>
      </c>
      <c r="E5329" t="inlineStr">
        <is>
          <t>MALUNG-SÄLEN</t>
        </is>
      </c>
      <c r="G5329" t="n">
        <v>1.4</v>
      </c>
      <c r="H5329" t="n">
        <v>0</v>
      </c>
      <c r="I5329" t="n">
        <v>0</v>
      </c>
      <c r="J5329" t="n">
        <v>0</v>
      </c>
      <c r="K5329" t="n">
        <v>0</v>
      </c>
      <c r="L5329" t="n">
        <v>0</v>
      </c>
      <c r="M5329" t="n">
        <v>0</v>
      </c>
      <c r="N5329" t="n">
        <v>0</v>
      </c>
      <c r="O5329" t="n">
        <v>0</v>
      </c>
      <c r="P5329" t="n">
        <v>0</v>
      </c>
      <c r="Q5329" t="n">
        <v>0</v>
      </c>
      <c r="R5329" s="2" t="inlineStr"/>
    </row>
    <row r="5330" ht="15" customHeight="1">
      <c r="A5330" t="inlineStr">
        <is>
          <t>A 15393-2023</t>
        </is>
      </c>
      <c r="B5330" s="1" t="n">
        <v>45016</v>
      </c>
      <c r="C5330" s="1" t="n">
        <v>45210</v>
      </c>
      <c r="D5330" t="inlineStr">
        <is>
          <t>DALARNAS LÄN</t>
        </is>
      </c>
      <c r="E5330" t="inlineStr">
        <is>
          <t>BORLÄNGE</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15211-2023</t>
        </is>
      </c>
      <c r="B5331" s="1" t="n">
        <v>45018</v>
      </c>
      <c r="C5331" s="1" t="n">
        <v>45210</v>
      </c>
      <c r="D5331" t="inlineStr">
        <is>
          <t>DALARNAS LÄN</t>
        </is>
      </c>
      <c r="E5331" t="inlineStr">
        <is>
          <t>SMEDJEBACKEN</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15388-2023</t>
        </is>
      </c>
      <c r="B5332" s="1" t="n">
        <v>45019</v>
      </c>
      <c r="C5332" s="1" t="n">
        <v>45210</v>
      </c>
      <c r="D5332" t="inlineStr">
        <is>
          <t>DALARNAS LÄN</t>
        </is>
      </c>
      <c r="E5332" t="inlineStr">
        <is>
          <t>MALUNG-SÄLEN</t>
        </is>
      </c>
      <c r="F5332" t="inlineStr">
        <is>
          <t>Allmännings- och besparingsskogar</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15668-2023</t>
        </is>
      </c>
      <c r="B5333" s="1" t="n">
        <v>45019</v>
      </c>
      <c r="C5333" s="1" t="n">
        <v>45210</v>
      </c>
      <c r="D5333" t="inlineStr">
        <is>
          <t>DALARNAS LÄN</t>
        </is>
      </c>
      <c r="E5333" t="inlineStr">
        <is>
          <t>RÄTTVIK</t>
        </is>
      </c>
      <c r="G5333" t="n">
        <v>2.4</v>
      </c>
      <c r="H5333" t="n">
        <v>0</v>
      </c>
      <c r="I5333" t="n">
        <v>0</v>
      </c>
      <c r="J5333" t="n">
        <v>0</v>
      </c>
      <c r="K5333" t="n">
        <v>0</v>
      </c>
      <c r="L5333" t="n">
        <v>0</v>
      </c>
      <c r="M5333" t="n">
        <v>0</v>
      </c>
      <c r="N5333" t="n">
        <v>0</v>
      </c>
      <c r="O5333" t="n">
        <v>0</v>
      </c>
      <c r="P5333" t="n">
        <v>0</v>
      </c>
      <c r="Q5333" t="n">
        <v>0</v>
      </c>
      <c r="R5333" s="2" t="inlineStr"/>
    </row>
    <row r="5334" ht="15" customHeight="1">
      <c r="A5334" t="inlineStr">
        <is>
          <t>A 15361-2023</t>
        </is>
      </c>
      <c r="B5334" s="1" t="n">
        <v>45019</v>
      </c>
      <c r="C5334" s="1" t="n">
        <v>45210</v>
      </c>
      <c r="D5334" t="inlineStr">
        <is>
          <t>DALARNAS LÄN</t>
        </is>
      </c>
      <c r="E5334" t="inlineStr">
        <is>
          <t>AVESTA</t>
        </is>
      </c>
      <c r="G5334" t="n">
        <v>0.4</v>
      </c>
      <c r="H5334" t="n">
        <v>0</v>
      </c>
      <c r="I5334" t="n">
        <v>0</v>
      </c>
      <c r="J5334" t="n">
        <v>0</v>
      </c>
      <c r="K5334" t="n">
        <v>0</v>
      </c>
      <c r="L5334" t="n">
        <v>0</v>
      </c>
      <c r="M5334" t="n">
        <v>0</v>
      </c>
      <c r="N5334" t="n">
        <v>0</v>
      </c>
      <c r="O5334" t="n">
        <v>0</v>
      </c>
      <c r="P5334" t="n">
        <v>0</v>
      </c>
      <c r="Q5334" t="n">
        <v>0</v>
      </c>
      <c r="R5334" s="2" t="inlineStr"/>
    </row>
    <row r="5335" ht="15" customHeight="1">
      <c r="A5335" t="inlineStr">
        <is>
          <t>A 15661-2023</t>
        </is>
      </c>
      <c r="B5335" s="1" t="n">
        <v>45019</v>
      </c>
      <c r="C5335" s="1" t="n">
        <v>45210</v>
      </c>
      <c r="D5335" t="inlineStr">
        <is>
          <t>DALARNAS LÄN</t>
        </is>
      </c>
      <c r="E5335" t="inlineStr">
        <is>
          <t>RÄTTVIK</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15261-2023</t>
        </is>
      </c>
      <c r="B5336" s="1" t="n">
        <v>45019</v>
      </c>
      <c r="C5336" s="1" t="n">
        <v>45210</v>
      </c>
      <c r="D5336" t="inlineStr">
        <is>
          <t>DALARNAS LÄN</t>
        </is>
      </c>
      <c r="E5336" t="inlineStr">
        <is>
          <t>LEKSAND</t>
        </is>
      </c>
      <c r="G5336" t="n">
        <v>1.8</v>
      </c>
      <c r="H5336" t="n">
        <v>0</v>
      </c>
      <c r="I5336" t="n">
        <v>0</v>
      </c>
      <c r="J5336" t="n">
        <v>0</v>
      </c>
      <c r="K5336" t="n">
        <v>0</v>
      </c>
      <c r="L5336" t="n">
        <v>0</v>
      </c>
      <c r="M5336" t="n">
        <v>0</v>
      </c>
      <c r="N5336" t="n">
        <v>0</v>
      </c>
      <c r="O5336" t="n">
        <v>0</v>
      </c>
      <c r="P5336" t="n">
        <v>0</v>
      </c>
      <c r="Q5336" t="n">
        <v>0</v>
      </c>
      <c r="R5336" s="2" t="inlineStr"/>
    </row>
    <row r="5337" ht="15" customHeight="1">
      <c r="A5337" t="inlineStr">
        <is>
          <t>A 15271-2023</t>
        </is>
      </c>
      <c r="B5337" s="1" t="n">
        <v>45019</v>
      </c>
      <c r="C5337" s="1" t="n">
        <v>45210</v>
      </c>
      <c r="D5337" t="inlineStr">
        <is>
          <t>DALARNAS LÄN</t>
        </is>
      </c>
      <c r="E5337" t="inlineStr">
        <is>
          <t>LEKSAND</t>
        </is>
      </c>
      <c r="G5337" t="n">
        <v>5.5</v>
      </c>
      <c r="H5337" t="n">
        <v>0</v>
      </c>
      <c r="I5337" t="n">
        <v>0</v>
      </c>
      <c r="J5337" t="n">
        <v>0</v>
      </c>
      <c r="K5337" t="n">
        <v>0</v>
      </c>
      <c r="L5337" t="n">
        <v>0</v>
      </c>
      <c r="M5337" t="n">
        <v>0</v>
      </c>
      <c r="N5337" t="n">
        <v>0</v>
      </c>
      <c r="O5337" t="n">
        <v>0</v>
      </c>
      <c r="P5337" t="n">
        <v>0</v>
      </c>
      <c r="Q5337" t="n">
        <v>0</v>
      </c>
      <c r="R5337" s="2" t="inlineStr"/>
    </row>
    <row r="5338" ht="15" customHeight="1">
      <c r="A5338" t="inlineStr">
        <is>
          <t>A 15360-2023</t>
        </is>
      </c>
      <c r="B5338" s="1" t="n">
        <v>45019</v>
      </c>
      <c r="C5338" s="1" t="n">
        <v>45210</v>
      </c>
      <c r="D5338" t="inlineStr">
        <is>
          <t>DALARNAS LÄN</t>
        </is>
      </c>
      <c r="E5338" t="inlineStr">
        <is>
          <t>SMEDJEBACKEN</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15602-2023</t>
        </is>
      </c>
      <c r="B5339" s="1" t="n">
        <v>45020</v>
      </c>
      <c r="C5339" s="1" t="n">
        <v>45210</v>
      </c>
      <c r="D5339" t="inlineStr">
        <is>
          <t>DALARNAS LÄN</t>
        </is>
      </c>
      <c r="E5339" t="inlineStr">
        <is>
          <t>MALUNG-SÄLEN</t>
        </is>
      </c>
      <c r="G5339" t="n">
        <v>15.5</v>
      </c>
      <c r="H5339" t="n">
        <v>0</v>
      </c>
      <c r="I5339" t="n">
        <v>0</v>
      </c>
      <c r="J5339" t="n">
        <v>0</v>
      </c>
      <c r="K5339" t="n">
        <v>0</v>
      </c>
      <c r="L5339" t="n">
        <v>0</v>
      </c>
      <c r="M5339" t="n">
        <v>0</v>
      </c>
      <c r="N5339" t="n">
        <v>0</v>
      </c>
      <c r="O5339" t="n">
        <v>0</v>
      </c>
      <c r="P5339" t="n">
        <v>0</v>
      </c>
      <c r="Q5339" t="n">
        <v>0</v>
      </c>
      <c r="R5339" s="2" t="inlineStr"/>
    </row>
    <row r="5340" ht="15" customHeight="1">
      <c r="A5340" t="inlineStr">
        <is>
          <t>A 15436-2023</t>
        </is>
      </c>
      <c r="B5340" s="1" t="n">
        <v>45020</v>
      </c>
      <c r="C5340" s="1" t="n">
        <v>45210</v>
      </c>
      <c r="D5340" t="inlineStr">
        <is>
          <t>DALARNAS LÄN</t>
        </is>
      </c>
      <c r="E5340" t="inlineStr">
        <is>
          <t>LEKSAND</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15598-2023</t>
        </is>
      </c>
      <c r="B5341" s="1" t="n">
        <v>45020</v>
      </c>
      <c r="C5341" s="1" t="n">
        <v>45210</v>
      </c>
      <c r="D5341" t="inlineStr">
        <is>
          <t>DALARNAS LÄN</t>
        </is>
      </c>
      <c r="E5341" t="inlineStr">
        <is>
          <t>MALUNG-SÄLEN</t>
        </is>
      </c>
      <c r="G5341" t="n">
        <v>22.5</v>
      </c>
      <c r="H5341" t="n">
        <v>0</v>
      </c>
      <c r="I5341" t="n">
        <v>0</v>
      </c>
      <c r="J5341" t="n">
        <v>0</v>
      </c>
      <c r="K5341" t="n">
        <v>0</v>
      </c>
      <c r="L5341" t="n">
        <v>0</v>
      </c>
      <c r="M5341" t="n">
        <v>0</v>
      </c>
      <c r="N5341" t="n">
        <v>0</v>
      </c>
      <c r="O5341" t="n">
        <v>0</v>
      </c>
      <c r="P5341" t="n">
        <v>0</v>
      </c>
      <c r="Q5341" t="n">
        <v>0</v>
      </c>
      <c r="R5341" s="2" t="inlineStr"/>
    </row>
    <row r="5342" ht="15" customHeight="1">
      <c r="A5342" t="inlineStr">
        <is>
          <t>A 15433-2023</t>
        </is>
      </c>
      <c r="B5342" s="1" t="n">
        <v>45020</v>
      </c>
      <c r="C5342" s="1" t="n">
        <v>45210</v>
      </c>
      <c r="D5342" t="inlineStr">
        <is>
          <t>DALARNAS LÄN</t>
        </is>
      </c>
      <c r="E5342" t="inlineStr">
        <is>
          <t>LEKSAND</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15503-2023</t>
        </is>
      </c>
      <c r="B5343" s="1" t="n">
        <v>45020</v>
      </c>
      <c r="C5343" s="1" t="n">
        <v>45210</v>
      </c>
      <c r="D5343" t="inlineStr">
        <is>
          <t>DALARNAS LÄN</t>
        </is>
      </c>
      <c r="E5343" t="inlineStr">
        <is>
          <t>SÄTER</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15523-2023</t>
        </is>
      </c>
      <c r="B5344" s="1" t="n">
        <v>45020</v>
      </c>
      <c r="C5344" s="1" t="n">
        <v>45210</v>
      </c>
      <c r="D5344" t="inlineStr">
        <is>
          <t>DALARNAS LÄN</t>
        </is>
      </c>
      <c r="E5344" t="inlineStr">
        <is>
          <t>FALUN</t>
        </is>
      </c>
      <c r="G5344" t="n">
        <v>5.2</v>
      </c>
      <c r="H5344" t="n">
        <v>0</v>
      </c>
      <c r="I5344" t="n">
        <v>0</v>
      </c>
      <c r="J5344" t="n">
        <v>0</v>
      </c>
      <c r="K5344" t="n">
        <v>0</v>
      </c>
      <c r="L5344" t="n">
        <v>0</v>
      </c>
      <c r="M5344" t="n">
        <v>0</v>
      </c>
      <c r="N5344" t="n">
        <v>0</v>
      </c>
      <c r="O5344" t="n">
        <v>0</v>
      </c>
      <c r="P5344" t="n">
        <v>0</v>
      </c>
      <c r="Q5344" t="n">
        <v>0</v>
      </c>
      <c r="R5344" s="2" t="inlineStr"/>
    </row>
    <row r="5345" ht="15" customHeight="1">
      <c r="A5345" t="inlineStr">
        <is>
          <t>A 15729-2023</t>
        </is>
      </c>
      <c r="B5345" s="1" t="n">
        <v>45021</v>
      </c>
      <c r="C5345" s="1" t="n">
        <v>45210</v>
      </c>
      <c r="D5345" t="inlineStr">
        <is>
          <t>DALARNAS LÄN</t>
        </is>
      </c>
      <c r="E5345" t="inlineStr">
        <is>
          <t>BORLÄNGE</t>
        </is>
      </c>
      <c r="F5345" t="inlineStr">
        <is>
          <t>Bergvik skog väst AB</t>
        </is>
      </c>
      <c r="G5345" t="n">
        <v>0.9</v>
      </c>
      <c r="H5345" t="n">
        <v>0</v>
      </c>
      <c r="I5345" t="n">
        <v>0</v>
      </c>
      <c r="J5345" t="n">
        <v>0</v>
      </c>
      <c r="K5345" t="n">
        <v>0</v>
      </c>
      <c r="L5345" t="n">
        <v>0</v>
      </c>
      <c r="M5345" t="n">
        <v>0</v>
      </c>
      <c r="N5345" t="n">
        <v>0</v>
      </c>
      <c r="O5345" t="n">
        <v>0</v>
      </c>
      <c r="P5345" t="n">
        <v>0</v>
      </c>
      <c r="Q5345" t="n">
        <v>0</v>
      </c>
      <c r="R5345" s="2" t="inlineStr"/>
    </row>
    <row r="5346" ht="15" customHeight="1">
      <c r="A5346" t="inlineStr">
        <is>
          <t>A 15767-2023</t>
        </is>
      </c>
      <c r="B5346" s="1" t="n">
        <v>45021</v>
      </c>
      <c r="C5346" s="1" t="n">
        <v>45210</v>
      </c>
      <c r="D5346" t="inlineStr">
        <is>
          <t>DALARNAS LÄN</t>
        </is>
      </c>
      <c r="E5346" t="inlineStr">
        <is>
          <t>RÄTTVIK</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15786-2023</t>
        </is>
      </c>
      <c r="B5347" s="1" t="n">
        <v>45021</v>
      </c>
      <c r="C5347" s="1" t="n">
        <v>45210</v>
      </c>
      <c r="D5347" t="inlineStr">
        <is>
          <t>DALARNAS LÄN</t>
        </is>
      </c>
      <c r="E5347" t="inlineStr">
        <is>
          <t>SMEDJEBACKEN</t>
        </is>
      </c>
      <c r="F5347" t="inlineStr">
        <is>
          <t>Kommuner</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16102-2023</t>
        </is>
      </c>
      <c r="B5348" s="1" t="n">
        <v>45021</v>
      </c>
      <c r="C5348" s="1" t="n">
        <v>45210</v>
      </c>
      <c r="D5348" t="inlineStr">
        <is>
          <t>DALARNAS LÄN</t>
        </is>
      </c>
      <c r="E5348" t="inlineStr">
        <is>
          <t>FALUN</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15754-2023</t>
        </is>
      </c>
      <c r="B5349" s="1" t="n">
        <v>45021</v>
      </c>
      <c r="C5349" s="1" t="n">
        <v>45210</v>
      </c>
      <c r="D5349" t="inlineStr">
        <is>
          <t>DALARNAS LÄN</t>
        </is>
      </c>
      <c r="E5349" t="inlineStr">
        <is>
          <t>LUDVIKA</t>
        </is>
      </c>
      <c r="F5349" t="inlineStr">
        <is>
          <t>Naturvårdsverket</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15863-2023</t>
        </is>
      </c>
      <c r="B5350" s="1" t="n">
        <v>45022</v>
      </c>
      <c r="C5350" s="1" t="n">
        <v>45210</v>
      </c>
      <c r="D5350" t="inlineStr">
        <is>
          <t>DALARNAS LÄN</t>
        </is>
      </c>
      <c r="E5350" t="inlineStr">
        <is>
          <t>HEDEMORA</t>
        </is>
      </c>
      <c r="F5350" t="inlineStr">
        <is>
          <t>Bergvik skog väst AB</t>
        </is>
      </c>
      <c r="G5350" t="n">
        <v>4.7</v>
      </c>
      <c r="H5350" t="n">
        <v>0</v>
      </c>
      <c r="I5350" t="n">
        <v>0</v>
      </c>
      <c r="J5350" t="n">
        <v>0</v>
      </c>
      <c r="K5350" t="n">
        <v>0</v>
      </c>
      <c r="L5350" t="n">
        <v>0</v>
      </c>
      <c r="M5350" t="n">
        <v>0</v>
      </c>
      <c r="N5350" t="n">
        <v>0</v>
      </c>
      <c r="O5350" t="n">
        <v>0</v>
      </c>
      <c r="P5350" t="n">
        <v>0</v>
      </c>
      <c r="Q5350" t="n">
        <v>0</v>
      </c>
      <c r="R5350" s="2" t="inlineStr"/>
    </row>
    <row r="5351" ht="15" customHeight="1">
      <c r="A5351" t="inlineStr">
        <is>
          <t>A 15882-2023</t>
        </is>
      </c>
      <c r="B5351" s="1" t="n">
        <v>45022</v>
      </c>
      <c r="C5351" s="1" t="n">
        <v>45210</v>
      </c>
      <c r="D5351" t="inlineStr">
        <is>
          <t>DALARNAS LÄN</t>
        </is>
      </c>
      <c r="E5351" t="inlineStr">
        <is>
          <t>LEKSAND</t>
        </is>
      </c>
      <c r="G5351" t="n">
        <v>0.1</v>
      </c>
      <c r="H5351" t="n">
        <v>0</v>
      </c>
      <c r="I5351" t="n">
        <v>0</v>
      </c>
      <c r="J5351" t="n">
        <v>0</v>
      </c>
      <c r="K5351" t="n">
        <v>0</v>
      </c>
      <c r="L5351" t="n">
        <v>0</v>
      </c>
      <c r="M5351" t="n">
        <v>0</v>
      </c>
      <c r="N5351" t="n">
        <v>0</v>
      </c>
      <c r="O5351" t="n">
        <v>0</v>
      </c>
      <c r="P5351" t="n">
        <v>0</v>
      </c>
      <c r="Q5351" t="n">
        <v>0</v>
      </c>
      <c r="R5351" s="2" t="inlineStr"/>
    </row>
    <row r="5352" ht="15" customHeight="1">
      <c r="A5352" t="inlineStr">
        <is>
          <t>A 15908-2023</t>
        </is>
      </c>
      <c r="B5352" s="1" t="n">
        <v>45022</v>
      </c>
      <c r="C5352" s="1" t="n">
        <v>45210</v>
      </c>
      <c r="D5352" t="inlineStr">
        <is>
          <t>DALARNAS LÄN</t>
        </is>
      </c>
      <c r="E5352" t="inlineStr">
        <is>
          <t>LEKSAND</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15867-2023</t>
        </is>
      </c>
      <c r="B5353" s="1" t="n">
        <v>45022</v>
      </c>
      <c r="C5353" s="1" t="n">
        <v>45210</v>
      </c>
      <c r="D5353" t="inlineStr">
        <is>
          <t>DALARNAS LÄN</t>
        </is>
      </c>
      <c r="E5353" t="inlineStr">
        <is>
          <t>GAGNEF</t>
        </is>
      </c>
      <c r="G5353" t="n">
        <v>4.7</v>
      </c>
      <c r="H5353" t="n">
        <v>0</v>
      </c>
      <c r="I5353" t="n">
        <v>0</v>
      </c>
      <c r="J5353" t="n">
        <v>0</v>
      </c>
      <c r="K5353" t="n">
        <v>0</v>
      </c>
      <c r="L5353" t="n">
        <v>0</v>
      </c>
      <c r="M5353" t="n">
        <v>0</v>
      </c>
      <c r="N5353" t="n">
        <v>0</v>
      </c>
      <c r="O5353" t="n">
        <v>0</v>
      </c>
      <c r="P5353" t="n">
        <v>0</v>
      </c>
      <c r="Q5353" t="n">
        <v>0</v>
      </c>
      <c r="R5353" s="2" t="inlineStr"/>
    </row>
    <row r="5354" ht="15" customHeight="1">
      <c r="A5354" t="inlineStr">
        <is>
          <t>A 15858-2023</t>
        </is>
      </c>
      <c r="B5354" s="1" t="n">
        <v>45022</v>
      </c>
      <c r="C5354" s="1" t="n">
        <v>45210</v>
      </c>
      <c r="D5354" t="inlineStr">
        <is>
          <t>DALARNAS LÄN</t>
        </is>
      </c>
      <c r="E5354" t="inlineStr">
        <is>
          <t>HEDEMORA</t>
        </is>
      </c>
      <c r="F5354" t="inlineStr">
        <is>
          <t>Bergvik skog väst AB</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16066-2023</t>
        </is>
      </c>
      <c r="B5355" s="1" t="n">
        <v>45027</v>
      </c>
      <c r="C5355" s="1" t="n">
        <v>45210</v>
      </c>
      <c r="D5355" t="inlineStr">
        <is>
          <t>DALARNAS LÄN</t>
        </is>
      </c>
      <c r="E5355" t="inlineStr">
        <is>
          <t>FALUN</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16051-2023</t>
        </is>
      </c>
      <c r="B5356" s="1" t="n">
        <v>45027</v>
      </c>
      <c r="C5356" s="1" t="n">
        <v>45210</v>
      </c>
      <c r="D5356" t="inlineStr">
        <is>
          <t>DALARNAS LÄN</t>
        </is>
      </c>
      <c r="E5356" t="inlineStr">
        <is>
          <t>LEKSAND</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16137-2023</t>
        </is>
      </c>
      <c r="B5357" s="1" t="n">
        <v>45027</v>
      </c>
      <c r="C5357" s="1" t="n">
        <v>45210</v>
      </c>
      <c r="D5357" t="inlineStr">
        <is>
          <t>DALARNAS LÄN</t>
        </is>
      </c>
      <c r="E5357" t="inlineStr">
        <is>
          <t>LEKSAND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16074-2023</t>
        </is>
      </c>
      <c r="B5358" s="1" t="n">
        <v>45027</v>
      </c>
      <c r="C5358" s="1" t="n">
        <v>45210</v>
      </c>
      <c r="D5358" t="inlineStr">
        <is>
          <t>DALARNAS LÄN</t>
        </is>
      </c>
      <c r="E5358" t="inlineStr">
        <is>
          <t>RÄTTVIK</t>
        </is>
      </c>
      <c r="G5358" t="n">
        <v>3.3</v>
      </c>
      <c r="H5358" t="n">
        <v>0</v>
      </c>
      <c r="I5358" t="n">
        <v>0</v>
      </c>
      <c r="J5358" t="n">
        <v>0</v>
      </c>
      <c r="K5358" t="n">
        <v>0</v>
      </c>
      <c r="L5358" t="n">
        <v>0</v>
      </c>
      <c r="M5358" t="n">
        <v>0</v>
      </c>
      <c r="N5358" t="n">
        <v>0</v>
      </c>
      <c r="O5358" t="n">
        <v>0</v>
      </c>
      <c r="P5358" t="n">
        <v>0</v>
      </c>
      <c r="Q5358" t="n">
        <v>0</v>
      </c>
      <c r="R5358" s="2" t="inlineStr"/>
    </row>
    <row r="5359" ht="15" customHeight="1">
      <c r="A5359" t="inlineStr">
        <is>
          <t>A 16082-2023</t>
        </is>
      </c>
      <c r="B5359" s="1" t="n">
        <v>45027</v>
      </c>
      <c r="C5359" s="1" t="n">
        <v>45210</v>
      </c>
      <c r="D5359" t="inlineStr">
        <is>
          <t>DALARNAS LÄN</t>
        </is>
      </c>
      <c r="E5359" t="inlineStr">
        <is>
          <t>BORLÄNGE</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16099-2023</t>
        </is>
      </c>
      <c r="B5360" s="1" t="n">
        <v>45027</v>
      </c>
      <c r="C5360" s="1" t="n">
        <v>45210</v>
      </c>
      <c r="D5360" t="inlineStr">
        <is>
          <t>DALARNAS LÄN</t>
        </is>
      </c>
      <c r="E5360" t="inlineStr">
        <is>
          <t>GAGNEF</t>
        </is>
      </c>
      <c r="G5360" t="n">
        <v>13.4</v>
      </c>
      <c r="H5360" t="n">
        <v>0</v>
      </c>
      <c r="I5360" t="n">
        <v>0</v>
      </c>
      <c r="J5360" t="n">
        <v>0</v>
      </c>
      <c r="K5360" t="n">
        <v>0</v>
      </c>
      <c r="L5360" t="n">
        <v>0</v>
      </c>
      <c r="M5360" t="n">
        <v>0</v>
      </c>
      <c r="N5360" t="n">
        <v>0</v>
      </c>
      <c r="O5360" t="n">
        <v>0</v>
      </c>
      <c r="P5360" t="n">
        <v>0</v>
      </c>
      <c r="Q5360" t="n">
        <v>0</v>
      </c>
      <c r="R5360" s="2" t="inlineStr"/>
    </row>
    <row r="5361" ht="15" customHeight="1">
      <c r="A5361" t="inlineStr">
        <is>
          <t>A 16118-2023</t>
        </is>
      </c>
      <c r="B5361" s="1" t="n">
        <v>45027</v>
      </c>
      <c r="C5361" s="1" t="n">
        <v>45210</v>
      </c>
      <c r="D5361" t="inlineStr">
        <is>
          <t>DALARNAS LÄN</t>
        </is>
      </c>
      <c r="E5361" t="inlineStr">
        <is>
          <t>GAGNEF</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16174-2023</t>
        </is>
      </c>
      <c r="B5362" s="1" t="n">
        <v>45027</v>
      </c>
      <c r="C5362" s="1" t="n">
        <v>45210</v>
      </c>
      <c r="D5362" t="inlineStr">
        <is>
          <t>DALARNAS LÄN</t>
        </is>
      </c>
      <c r="E5362" t="inlineStr">
        <is>
          <t>GAGNEF</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16227-2023</t>
        </is>
      </c>
      <c r="B5363" s="1" t="n">
        <v>45028</v>
      </c>
      <c r="C5363" s="1" t="n">
        <v>45210</v>
      </c>
      <c r="D5363" t="inlineStr">
        <is>
          <t>DALARNAS LÄN</t>
        </is>
      </c>
      <c r="E5363" t="inlineStr">
        <is>
          <t>FALUN</t>
        </is>
      </c>
      <c r="F5363" t="inlineStr">
        <is>
          <t>Bergvik skog väst AB</t>
        </is>
      </c>
      <c r="G5363" t="n">
        <v>0.8</v>
      </c>
      <c r="H5363" t="n">
        <v>0</v>
      </c>
      <c r="I5363" t="n">
        <v>0</v>
      </c>
      <c r="J5363" t="n">
        <v>0</v>
      </c>
      <c r="K5363" t="n">
        <v>0</v>
      </c>
      <c r="L5363" t="n">
        <v>0</v>
      </c>
      <c r="M5363" t="n">
        <v>0</v>
      </c>
      <c r="N5363" t="n">
        <v>0</v>
      </c>
      <c r="O5363" t="n">
        <v>0</v>
      </c>
      <c r="P5363" t="n">
        <v>0</v>
      </c>
      <c r="Q5363" t="n">
        <v>0</v>
      </c>
      <c r="R5363" s="2" t="inlineStr"/>
    </row>
    <row r="5364" ht="15" customHeight="1">
      <c r="A5364" t="inlineStr">
        <is>
          <t>A 16333-2023</t>
        </is>
      </c>
      <c r="B5364" s="1" t="n">
        <v>45028</v>
      </c>
      <c r="C5364" s="1" t="n">
        <v>45210</v>
      </c>
      <c r="D5364" t="inlineStr">
        <is>
          <t>DALARNAS LÄN</t>
        </is>
      </c>
      <c r="E5364" t="inlineStr">
        <is>
          <t>LEKSAND</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16334-2023</t>
        </is>
      </c>
      <c r="B5365" s="1" t="n">
        <v>45028</v>
      </c>
      <c r="C5365" s="1" t="n">
        <v>45210</v>
      </c>
      <c r="D5365" t="inlineStr">
        <is>
          <t>DALARNAS LÄN</t>
        </is>
      </c>
      <c r="E5365" t="inlineStr">
        <is>
          <t>FALUN</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16226-2023</t>
        </is>
      </c>
      <c r="B5366" s="1" t="n">
        <v>45028</v>
      </c>
      <c r="C5366" s="1" t="n">
        <v>45210</v>
      </c>
      <c r="D5366" t="inlineStr">
        <is>
          <t>DALARNAS LÄN</t>
        </is>
      </c>
      <c r="E5366" t="inlineStr">
        <is>
          <t>FALUN</t>
        </is>
      </c>
      <c r="F5366" t="inlineStr">
        <is>
          <t>Övriga statliga verk och myndigheter</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16332-2023</t>
        </is>
      </c>
      <c r="B5367" s="1" t="n">
        <v>45028</v>
      </c>
      <c r="C5367" s="1" t="n">
        <v>45210</v>
      </c>
      <c r="D5367" t="inlineStr">
        <is>
          <t>DALARNAS LÄN</t>
        </is>
      </c>
      <c r="E5367" t="inlineStr">
        <is>
          <t>LEKSAND</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16490-2023</t>
        </is>
      </c>
      <c r="B5368" s="1" t="n">
        <v>45029</v>
      </c>
      <c r="C5368" s="1" t="n">
        <v>45210</v>
      </c>
      <c r="D5368" t="inlineStr">
        <is>
          <t>DALARNAS LÄN</t>
        </is>
      </c>
      <c r="E5368" t="inlineStr">
        <is>
          <t>HEDEMORA</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16585-2023</t>
        </is>
      </c>
      <c r="B5369" s="1" t="n">
        <v>45030</v>
      </c>
      <c r="C5369" s="1" t="n">
        <v>45210</v>
      </c>
      <c r="D5369" t="inlineStr">
        <is>
          <t>DALARNAS LÄN</t>
        </is>
      </c>
      <c r="E5369" t="inlineStr">
        <is>
          <t>ORSA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16687-2023</t>
        </is>
      </c>
      <c r="B5370" s="1" t="n">
        <v>45030</v>
      </c>
      <c r="C5370" s="1" t="n">
        <v>45210</v>
      </c>
      <c r="D5370" t="inlineStr">
        <is>
          <t>DALARNAS LÄN</t>
        </is>
      </c>
      <c r="E5370" t="inlineStr">
        <is>
          <t>SMEDJEBACKEN</t>
        </is>
      </c>
      <c r="G5370" t="n">
        <v>17.8</v>
      </c>
      <c r="H5370" t="n">
        <v>0</v>
      </c>
      <c r="I5370" t="n">
        <v>0</v>
      </c>
      <c r="J5370" t="n">
        <v>0</v>
      </c>
      <c r="K5370" t="n">
        <v>0</v>
      </c>
      <c r="L5370" t="n">
        <v>0</v>
      </c>
      <c r="M5370" t="n">
        <v>0</v>
      </c>
      <c r="N5370" t="n">
        <v>0</v>
      </c>
      <c r="O5370" t="n">
        <v>0</v>
      </c>
      <c r="P5370" t="n">
        <v>0</v>
      </c>
      <c r="Q5370" t="n">
        <v>0</v>
      </c>
      <c r="R5370" s="2" t="inlineStr"/>
    </row>
    <row r="5371" ht="15" customHeight="1">
      <c r="A5371" t="inlineStr">
        <is>
          <t>A 16592-2023</t>
        </is>
      </c>
      <c r="B5371" s="1" t="n">
        <v>45030</v>
      </c>
      <c r="C5371" s="1" t="n">
        <v>45210</v>
      </c>
      <c r="D5371" t="inlineStr">
        <is>
          <t>DALARNAS LÄN</t>
        </is>
      </c>
      <c r="E5371" t="inlineStr">
        <is>
          <t>LEKSAND</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16825-2023</t>
        </is>
      </c>
      <c r="B5372" s="1" t="n">
        <v>45033</v>
      </c>
      <c r="C5372" s="1" t="n">
        <v>45210</v>
      </c>
      <c r="D5372" t="inlineStr">
        <is>
          <t>DALARNAS LÄN</t>
        </is>
      </c>
      <c r="E5372" t="inlineStr">
        <is>
          <t>GAGNEF</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16833-2023</t>
        </is>
      </c>
      <c r="B5373" s="1" t="n">
        <v>45033</v>
      </c>
      <c r="C5373" s="1" t="n">
        <v>45210</v>
      </c>
      <c r="D5373" t="inlineStr">
        <is>
          <t>DALARNAS LÄN</t>
        </is>
      </c>
      <c r="E5373" t="inlineStr">
        <is>
          <t>RÄTTVIK</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16852-2023</t>
        </is>
      </c>
      <c r="B5374" s="1" t="n">
        <v>45033</v>
      </c>
      <c r="C5374" s="1" t="n">
        <v>45210</v>
      </c>
      <c r="D5374" t="inlineStr">
        <is>
          <t>DALARNAS LÄN</t>
        </is>
      </c>
      <c r="E5374" t="inlineStr">
        <is>
          <t>MORA</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16926-2023</t>
        </is>
      </c>
      <c r="B5375" s="1" t="n">
        <v>45033</v>
      </c>
      <c r="C5375" s="1" t="n">
        <v>45210</v>
      </c>
      <c r="D5375" t="inlineStr">
        <is>
          <t>DALARNAS LÄN</t>
        </is>
      </c>
      <c r="E5375" t="inlineStr">
        <is>
          <t>LEKSAND</t>
        </is>
      </c>
      <c r="G5375" t="n">
        <v>2.4</v>
      </c>
      <c r="H5375" t="n">
        <v>0</v>
      </c>
      <c r="I5375" t="n">
        <v>0</v>
      </c>
      <c r="J5375" t="n">
        <v>0</v>
      </c>
      <c r="K5375" t="n">
        <v>0</v>
      </c>
      <c r="L5375" t="n">
        <v>0</v>
      </c>
      <c r="M5375" t="n">
        <v>0</v>
      </c>
      <c r="N5375" t="n">
        <v>0</v>
      </c>
      <c r="O5375" t="n">
        <v>0</v>
      </c>
      <c r="P5375" t="n">
        <v>0</v>
      </c>
      <c r="Q5375" t="n">
        <v>0</v>
      </c>
      <c r="R5375" s="2" t="inlineStr"/>
    </row>
    <row r="5376" ht="15" customHeight="1">
      <c r="A5376" t="inlineStr">
        <is>
          <t>A 16882-2023</t>
        </is>
      </c>
      <c r="B5376" s="1" t="n">
        <v>45033</v>
      </c>
      <c r="C5376" s="1" t="n">
        <v>45210</v>
      </c>
      <c r="D5376" t="inlineStr">
        <is>
          <t>DALARNAS LÄN</t>
        </is>
      </c>
      <c r="E5376" t="inlineStr">
        <is>
          <t>LEKSAND</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17070-2023</t>
        </is>
      </c>
      <c r="B5377" s="1" t="n">
        <v>45034</v>
      </c>
      <c r="C5377" s="1" t="n">
        <v>45210</v>
      </c>
      <c r="D5377" t="inlineStr">
        <is>
          <t>DALARNAS LÄN</t>
        </is>
      </c>
      <c r="E5377" t="inlineStr">
        <is>
          <t>LEKSAND</t>
        </is>
      </c>
      <c r="G5377" t="n">
        <v>5.9</v>
      </c>
      <c r="H5377" t="n">
        <v>0</v>
      </c>
      <c r="I5377" t="n">
        <v>0</v>
      </c>
      <c r="J5377" t="n">
        <v>0</v>
      </c>
      <c r="K5377" t="n">
        <v>0</v>
      </c>
      <c r="L5377" t="n">
        <v>0</v>
      </c>
      <c r="M5377" t="n">
        <v>0</v>
      </c>
      <c r="N5377" t="n">
        <v>0</v>
      </c>
      <c r="O5377" t="n">
        <v>0</v>
      </c>
      <c r="P5377" t="n">
        <v>0</v>
      </c>
      <c r="Q5377" t="n">
        <v>0</v>
      </c>
      <c r="R5377" s="2" t="inlineStr"/>
    </row>
    <row r="5378" ht="15" customHeight="1">
      <c r="A5378" t="inlineStr">
        <is>
          <t>A 17076-2023</t>
        </is>
      </c>
      <c r="B5378" s="1" t="n">
        <v>45034</v>
      </c>
      <c r="C5378" s="1" t="n">
        <v>45210</v>
      </c>
      <c r="D5378" t="inlineStr">
        <is>
          <t>DALARNAS LÄN</t>
        </is>
      </c>
      <c r="E5378" t="inlineStr">
        <is>
          <t>LEKSAND</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17201-2023</t>
        </is>
      </c>
      <c r="B5379" s="1" t="n">
        <v>45034</v>
      </c>
      <c r="C5379" s="1" t="n">
        <v>45210</v>
      </c>
      <c r="D5379" t="inlineStr">
        <is>
          <t>DALARNAS LÄN</t>
        </is>
      </c>
      <c r="E5379" t="inlineStr">
        <is>
          <t>FALUN</t>
        </is>
      </c>
      <c r="G5379" t="n">
        <v>13.2</v>
      </c>
      <c r="H5379" t="n">
        <v>0</v>
      </c>
      <c r="I5379" t="n">
        <v>0</v>
      </c>
      <c r="J5379" t="n">
        <v>0</v>
      </c>
      <c r="K5379" t="n">
        <v>0</v>
      </c>
      <c r="L5379" t="n">
        <v>0</v>
      </c>
      <c r="M5379" t="n">
        <v>0</v>
      </c>
      <c r="N5379" t="n">
        <v>0</v>
      </c>
      <c r="O5379" t="n">
        <v>0</v>
      </c>
      <c r="P5379" t="n">
        <v>0</v>
      </c>
      <c r="Q5379" t="n">
        <v>0</v>
      </c>
      <c r="R5379" s="2" t="inlineStr"/>
    </row>
    <row r="5380" ht="15" customHeight="1">
      <c r="A5380" t="inlineStr">
        <is>
          <t>A 17078-2023</t>
        </is>
      </c>
      <c r="B5380" s="1" t="n">
        <v>45034</v>
      </c>
      <c r="C5380" s="1" t="n">
        <v>45210</v>
      </c>
      <c r="D5380" t="inlineStr">
        <is>
          <t>DALARNAS LÄN</t>
        </is>
      </c>
      <c r="E5380" t="inlineStr">
        <is>
          <t>LEKSAND</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17089-2023</t>
        </is>
      </c>
      <c r="B5381" s="1" t="n">
        <v>45034</v>
      </c>
      <c r="C5381" s="1" t="n">
        <v>45210</v>
      </c>
      <c r="D5381" t="inlineStr">
        <is>
          <t>DALARNAS LÄN</t>
        </is>
      </c>
      <c r="E5381" t="inlineStr">
        <is>
          <t>LEKSAND</t>
        </is>
      </c>
      <c r="F5381" t="inlineStr">
        <is>
          <t>Bergvik skog väst AB</t>
        </is>
      </c>
      <c r="G5381" t="n">
        <v>1.1</v>
      </c>
      <c r="H5381" t="n">
        <v>0</v>
      </c>
      <c r="I5381" t="n">
        <v>0</v>
      </c>
      <c r="J5381" t="n">
        <v>0</v>
      </c>
      <c r="K5381" t="n">
        <v>0</v>
      </c>
      <c r="L5381" t="n">
        <v>0</v>
      </c>
      <c r="M5381" t="n">
        <v>0</v>
      </c>
      <c r="N5381" t="n">
        <v>0</v>
      </c>
      <c r="O5381" t="n">
        <v>0</v>
      </c>
      <c r="P5381" t="n">
        <v>0</v>
      </c>
      <c r="Q5381" t="n">
        <v>0</v>
      </c>
      <c r="R5381" s="2" t="inlineStr"/>
    </row>
    <row r="5382" ht="15" customHeight="1">
      <c r="A5382" t="inlineStr">
        <is>
          <t>A 17138-2023</t>
        </is>
      </c>
      <c r="B5382" s="1" t="n">
        <v>45034</v>
      </c>
      <c r="C5382" s="1" t="n">
        <v>45210</v>
      </c>
      <c r="D5382" t="inlineStr">
        <is>
          <t>DALARNAS LÄN</t>
        </is>
      </c>
      <c r="E5382" t="inlineStr">
        <is>
          <t>LUDVIKA</t>
        </is>
      </c>
      <c r="F5382" t="inlineStr">
        <is>
          <t>Naturvårdsverket</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17203-2023</t>
        </is>
      </c>
      <c r="B5383" s="1" t="n">
        <v>45034</v>
      </c>
      <c r="C5383" s="1" t="n">
        <v>45210</v>
      </c>
      <c r="D5383" t="inlineStr">
        <is>
          <t>DALARNAS LÄN</t>
        </is>
      </c>
      <c r="E5383" t="inlineStr">
        <is>
          <t>FALUN</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17032-2023</t>
        </is>
      </c>
      <c r="B5384" s="1" t="n">
        <v>45034</v>
      </c>
      <c r="C5384" s="1" t="n">
        <v>45210</v>
      </c>
      <c r="D5384" t="inlineStr">
        <is>
          <t>DALARNAS LÄN</t>
        </is>
      </c>
      <c r="E5384" t="inlineStr">
        <is>
          <t>LUDVIKA</t>
        </is>
      </c>
      <c r="F5384" t="inlineStr">
        <is>
          <t>Naturvårdsverket</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17037-2023</t>
        </is>
      </c>
      <c r="B5385" s="1" t="n">
        <v>45034</v>
      </c>
      <c r="C5385" s="1" t="n">
        <v>45210</v>
      </c>
      <c r="D5385" t="inlineStr">
        <is>
          <t>DALARNAS LÄN</t>
        </is>
      </c>
      <c r="E5385" t="inlineStr">
        <is>
          <t>LUDVIKA</t>
        </is>
      </c>
      <c r="F5385" t="inlineStr">
        <is>
          <t>Naturvårdsverket</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17051-2023</t>
        </is>
      </c>
      <c r="B5386" s="1" t="n">
        <v>45034</v>
      </c>
      <c r="C5386" s="1" t="n">
        <v>45210</v>
      </c>
      <c r="D5386" t="inlineStr">
        <is>
          <t>DALARNAS LÄN</t>
        </is>
      </c>
      <c r="E5386" t="inlineStr">
        <is>
          <t>ÄLVDALEN</t>
        </is>
      </c>
      <c r="G5386" t="n">
        <v>4.2</v>
      </c>
      <c r="H5386" t="n">
        <v>0</v>
      </c>
      <c r="I5386" t="n">
        <v>0</v>
      </c>
      <c r="J5386" t="n">
        <v>0</v>
      </c>
      <c r="K5386" t="n">
        <v>0</v>
      </c>
      <c r="L5386" t="n">
        <v>0</v>
      </c>
      <c r="M5386" t="n">
        <v>0</v>
      </c>
      <c r="N5386" t="n">
        <v>0</v>
      </c>
      <c r="O5386" t="n">
        <v>0</v>
      </c>
      <c r="P5386" t="n">
        <v>0</v>
      </c>
      <c r="Q5386" t="n">
        <v>0</v>
      </c>
      <c r="R5386" s="2" t="inlineStr"/>
    </row>
    <row r="5387" ht="15" customHeight="1">
      <c r="A5387" t="inlineStr">
        <is>
          <t>A 17472-2023</t>
        </is>
      </c>
      <c r="B5387" s="1" t="n">
        <v>45034</v>
      </c>
      <c r="C5387" s="1" t="n">
        <v>45210</v>
      </c>
      <c r="D5387" t="inlineStr">
        <is>
          <t>DALARNAS LÄN</t>
        </is>
      </c>
      <c r="E5387" t="inlineStr">
        <is>
          <t>SMEDJEBACKEN</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17035-2023</t>
        </is>
      </c>
      <c r="B5388" s="1" t="n">
        <v>45034</v>
      </c>
      <c r="C5388" s="1" t="n">
        <v>45210</v>
      </c>
      <c r="D5388" t="inlineStr">
        <is>
          <t>DALARNAS LÄN</t>
        </is>
      </c>
      <c r="E5388" t="inlineStr">
        <is>
          <t>LUDVIKA</t>
        </is>
      </c>
      <c r="F5388" t="inlineStr">
        <is>
          <t>Naturvårdsverket</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17072-2023</t>
        </is>
      </c>
      <c r="B5389" s="1" t="n">
        <v>45034</v>
      </c>
      <c r="C5389" s="1" t="n">
        <v>45210</v>
      </c>
      <c r="D5389" t="inlineStr">
        <is>
          <t>DALARNAS LÄN</t>
        </is>
      </c>
      <c r="E5389" t="inlineStr">
        <is>
          <t>LEKSAND</t>
        </is>
      </c>
      <c r="G5389" t="n">
        <v>5.3</v>
      </c>
      <c r="H5389" t="n">
        <v>0</v>
      </c>
      <c r="I5389" t="n">
        <v>0</v>
      </c>
      <c r="J5389" t="n">
        <v>0</v>
      </c>
      <c r="K5389" t="n">
        <v>0</v>
      </c>
      <c r="L5389" t="n">
        <v>0</v>
      </c>
      <c r="M5389" t="n">
        <v>0</v>
      </c>
      <c r="N5389" t="n">
        <v>0</v>
      </c>
      <c r="O5389" t="n">
        <v>0</v>
      </c>
      <c r="P5389" t="n">
        <v>0</v>
      </c>
      <c r="Q5389" t="n">
        <v>0</v>
      </c>
      <c r="R5389" s="2" t="inlineStr"/>
    </row>
    <row r="5390" ht="15" customHeight="1">
      <c r="A5390" t="inlineStr">
        <is>
          <t>A 17084-2023</t>
        </is>
      </c>
      <c r="B5390" s="1" t="n">
        <v>45034</v>
      </c>
      <c r="C5390" s="1" t="n">
        <v>45210</v>
      </c>
      <c r="D5390" t="inlineStr">
        <is>
          <t>DALARNAS LÄN</t>
        </is>
      </c>
      <c r="E5390" t="inlineStr">
        <is>
          <t>LEKSAND</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17202-2023</t>
        </is>
      </c>
      <c r="B5391" s="1" t="n">
        <v>45034</v>
      </c>
      <c r="C5391" s="1" t="n">
        <v>45210</v>
      </c>
      <c r="D5391" t="inlineStr">
        <is>
          <t>DALARNAS LÄN</t>
        </is>
      </c>
      <c r="E5391" t="inlineStr">
        <is>
          <t>FALUN</t>
        </is>
      </c>
      <c r="G5391" t="n">
        <v>1.2</v>
      </c>
      <c r="H5391" t="n">
        <v>0</v>
      </c>
      <c r="I5391" t="n">
        <v>0</v>
      </c>
      <c r="J5391" t="n">
        <v>0</v>
      </c>
      <c r="K5391" t="n">
        <v>0</v>
      </c>
      <c r="L5391" t="n">
        <v>0</v>
      </c>
      <c r="M5391" t="n">
        <v>0</v>
      </c>
      <c r="N5391" t="n">
        <v>0</v>
      </c>
      <c r="O5391" t="n">
        <v>0</v>
      </c>
      <c r="P5391" t="n">
        <v>0</v>
      </c>
      <c r="Q5391" t="n">
        <v>0</v>
      </c>
      <c r="R5391" s="2" t="inlineStr"/>
    </row>
    <row r="5392" ht="15" customHeight="1">
      <c r="A5392" t="inlineStr">
        <is>
          <t>A 17331-2023</t>
        </is>
      </c>
      <c r="B5392" s="1" t="n">
        <v>45035</v>
      </c>
      <c r="C5392" s="1" t="n">
        <v>45210</v>
      </c>
      <c r="D5392" t="inlineStr">
        <is>
          <t>DALARNAS LÄN</t>
        </is>
      </c>
      <c r="E5392" t="inlineStr">
        <is>
          <t>LEKSAND</t>
        </is>
      </c>
      <c r="G5392" t="n">
        <v>0.8</v>
      </c>
      <c r="H5392" t="n">
        <v>0</v>
      </c>
      <c r="I5392" t="n">
        <v>0</v>
      </c>
      <c r="J5392" t="n">
        <v>0</v>
      </c>
      <c r="K5392" t="n">
        <v>0</v>
      </c>
      <c r="L5392" t="n">
        <v>0</v>
      </c>
      <c r="M5392" t="n">
        <v>0</v>
      </c>
      <c r="N5392" t="n">
        <v>0</v>
      </c>
      <c r="O5392" t="n">
        <v>0</v>
      </c>
      <c r="P5392" t="n">
        <v>0</v>
      </c>
      <c r="Q5392" t="n">
        <v>0</v>
      </c>
      <c r="R5392" s="2" t="inlineStr"/>
    </row>
    <row r="5393" ht="15" customHeight="1">
      <c r="A5393" t="inlineStr">
        <is>
          <t>A 17413-2023</t>
        </is>
      </c>
      <c r="B5393" s="1" t="n">
        <v>45035</v>
      </c>
      <c r="C5393" s="1" t="n">
        <v>45210</v>
      </c>
      <c r="D5393" t="inlineStr">
        <is>
          <t>DALARNAS LÄN</t>
        </is>
      </c>
      <c r="E5393" t="inlineStr">
        <is>
          <t>LEKSAND</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17233-2023</t>
        </is>
      </c>
      <c r="B5394" s="1" t="n">
        <v>45035</v>
      </c>
      <c r="C5394" s="1" t="n">
        <v>45210</v>
      </c>
      <c r="D5394" t="inlineStr">
        <is>
          <t>DALARNAS LÄN</t>
        </is>
      </c>
      <c r="E5394" t="inlineStr">
        <is>
          <t>LEKSAND</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17323-2023</t>
        </is>
      </c>
      <c r="B5395" s="1" t="n">
        <v>45035</v>
      </c>
      <c r="C5395" s="1" t="n">
        <v>45210</v>
      </c>
      <c r="D5395" t="inlineStr">
        <is>
          <t>DALARNAS LÄN</t>
        </is>
      </c>
      <c r="E5395" t="inlineStr">
        <is>
          <t>SMEDJEBACKEN</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17231-2023</t>
        </is>
      </c>
      <c r="B5396" s="1" t="n">
        <v>45035</v>
      </c>
      <c r="C5396" s="1" t="n">
        <v>45210</v>
      </c>
      <c r="D5396" t="inlineStr">
        <is>
          <t>DALARNAS LÄN</t>
        </is>
      </c>
      <c r="E5396" t="inlineStr">
        <is>
          <t>LEKSAND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17573-2023</t>
        </is>
      </c>
      <c r="B5397" s="1" t="n">
        <v>45036</v>
      </c>
      <c r="C5397" s="1" t="n">
        <v>45210</v>
      </c>
      <c r="D5397" t="inlineStr">
        <is>
          <t>DALARNAS LÄN</t>
        </is>
      </c>
      <c r="E5397" t="inlineStr">
        <is>
          <t>BORLÄNGE</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17533-2023</t>
        </is>
      </c>
      <c r="B5398" s="1" t="n">
        <v>45036</v>
      </c>
      <c r="C5398" s="1" t="n">
        <v>45210</v>
      </c>
      <c r="D5398" t="inlineStr">
        <is>
          <t>DALARNAS LÄN</t>
        </is>
      </c>
      <c r="E5398" t="inlineStr">
        <is>
          <t>LEKSAND</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17577-2023</t>
        </is>
      </c>
      <c r="B5399" s="1" t="n">
        <v>45036</v>
      </c>
      <c r="C5399" s="1" t="n">
        <v>45210</v>
      </c>
      <c r="D5399" t="inlineStr">
        <is>
          <t>DALARNAS LÄN</t>
        </is>
      </c>
      <c r="E5399" t="inlineStr">
        <is>
          <t>BORLÄNGE</t>
        </is>
      </c>
      <c r="G5399" t="n">
        <v>7.8</v>
      </c>
      <c r="H5399" t="n">
        <v>0</v>
      </c>
      <c r="I5399" t="n">
        <v>0</v>
      </c>
      <c r="J5399" t="n">
        <v>0</v>
      </c>
      <c r="K5399" t="n">
        <v>0</v>
      </c>
      <c r="L5399" t="n">
        <v>0</v>
      </c>
      <c r="M5399" t="n">
        <v>0</v>
      </c>
      <c r="N5399" t="n">
        <v>0</v>
      </c>
      <c r="O5399" t="n">
        <v>0</v>
      </c>
      <c r="P5399" t="n">
        <v>0</v>
      </c>
      <c r="Q5399" t="n">
        <v>0</v>
      </c>
      <c r="R5399" s="2" t="inlineStr"/>
    </row>
    <row r="5400" ht="15" customHeight="1">
      <c r="A5400" t="inlineStr">
        <is>
          <t>A 17608-2023</t>
        </is>
      </c>
      <c r="B5400" s="1" t="n">
        <v>45036</v>
      </c>
      <c r="C5400" s="1" t="n">
        <v>45210</v>
      </c>
      <c r="D5400" t="inlineStr">
        <is>
          <t>DALARNAS LÄN</t>
        </is>
      </c>
      <c r="E5400" t="inlineStr">
        <is>
          <t>MALUNG-SÄLEN</t>
        </is>
      </c>
      <c r="G5400" t="n">
        <v>3.9</v>
      </c>
      <c r="H5400" t="n">
        <v>0</v>
      </c>
      <c r="I5400" t="n">
        <v>0</v>
      </c>
      <c r="J5400" t="n">
        <v>0</v>
      </c>
      <c r="K5400" t="n">
        <v>0</v>
      </c>
      <c r="L5400" t="n">
        <v>0</v>
      </c>
      <c r="M5400" t="n">
        <v>0</v>
      </c>
      <c r="N5400" t="n">
        <v>0</v>
      </c>
      <c r="O5400" t="n">
        <v>0</v>
      </c>
      <c r="P5400" t="n">
        <v>0</v>
      </c>
      <c r="Q5400" t="n">
        <v>0</v>
      </c>
      <c r="R5400" s="2" t="inlineStr"/>
    </row>
    <row r="5401" ht="15" customHeight="1">
      <c r="A5401" t="inlineStr">
        <is>
          <t>A 17615-2023</t>
        </is>
      </c>
      <c r="B5401" s="1" t="n">
        <v>45036</v>
      </c>
      <c r="C5401" s="1" t="n">
        <v>45210</v>
      </c>
      <c r="D5401" t="inlineStr">
        <is>
          <t>DALARNAS LÄN</t>
        </is>
      </c>
      <c r="E5401" t="inlineStr">
        <is>
          <t>MALUNG-SÄLEN</t>
        </is>
      </c>
      <c r="G5401" t="n">
        <v>4.6</v>
      </c>
      <c r="H5401" t="n">
        <v>0</v>
      </c>
      <c r="I5401" t="n">
        <v>0</v>
      </c>
      <c r="J5401" t="n">
        <v>0</v>
      </c>
      <c r="K5401" t="n">
        <v>0</v>
      </c>
      <c r="L5401" t="n">
        <v>0</v>
      </c>
      <c r="M5401" t="n">
        <v>0</v>
      </c>
      <c r="N5401" t="n">
        <v>0</v>
      </c>
      <c r="O5401" t="n">
        <v>0</v>
      </c>
      <c r="P5401" t="n">
        <v>0</v>
      </c>
      <c r="Q5401" t="n">
        <v>0</v>
      </c>
      <c r="R5401" s="2" t="inlineStr"/>
    </row>
    <row r="5402" ht="15" customHeight="1">
      <c r="A5402" t="inlineStr">
        <is>
          <t>A 17569-2023</t>
        </is>
      </c>
      <c r="B5402" s="1" t="n">
        <v>45036</v>
      </c>
      <c r="C5402" s="1" t="n">
        <v>45210</v>
      </c>
      <c r="D5402" t="inlineStr">
        <is>
          <t>DALARNAS LÄN</t>
        </is>
      </c>
      <c r="E5402" t="inlineStr">
        <is>
          <t>BORLÄNGE</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17560-2023</t>
        </is>
      </c>
      <c r="B5403" s="1" t="n">
        <v>45036</v>
      </c>
      <c r="C5403" s="1" t="n">
        <v>45210</v>
      </c>
      <c r="D5403" t="inlineStr">
        <is>
          <t>DALARNAS LÄN</t>
        </is>
      </c>
      <c r="E5403" t="inlineStr">
        <is>
          <t>AVESTA</t>
        </is>
      </c>
      <c r="G5403" t="n">
        <v>6.6</v>
      </c>
      <c r="H5403" t="n">
        <v>0</v>
      </c>
      <c r="I5403" t="n">
        <v>0</v>
      </c>
      <c r="J5403" t="n">
        <v>0</v>
      </c>
      <c r="K5403" t="n">
        <v>0</v>
      </c>
      <c r="L5403" t="n">
        <v>0</v>
      </c>
      <c r="M5403" t="n">
        <v>0</v>
      </c>
      <c r="N5403" t="n">
        <v>0</v>
      </c>
      <c r="O5403" t="n">
        <v>0</v>
      </c>
      <c r="P5403" t="n">
        <v>0</v>
      </c>
      <c r="Q5403" t="n">
        <v>0</v>
      </c>
      <c r="R5403" s="2" t="inlineStr"/>
    </row>
    <row r="5404" ht="15" customHeight="1">
      <c r="A5404" t="inlineStr">
        <is>
          <t>A 17567-2023</t>
        </is>
      </c>
      <c r="B5404" s="1" t="n">
        <v>45036</v>
      </c>
      <c r="C5404" s="1" t="n">
        <v>45210</v>
      </c>
      <c r="D5404" t="inlineStr">
        <is>
          <t>DALARNAS LÄN</t>
        </is>
      </c>
      <c r="E5404" t="inlineStr">
        <is>
          <t>BORLÄNGE</t>
        </is>
      </c>
      <c r="G5404" t="n">
        <v>0.6</v>
      </c>
      <c r="H5404" t="n">
        <v>0</v>
      </c>
      <c r="I5404" t="n">
        <v>0</v>
      </c>
      <c r="J5404" t="n">
        <v>0</v>
      </c>
      <c r="K5404" t="n">
        <v>0</v>
      </c>
      <c r="L5404" t="n">
        <v>0</v>
      </c>
      <c r="M5404" t="n">
        <v>0</v>
      </c>
      <c r="N5404" t="n">
        <v>0</v>
      </c>
      <c r="O5404" t="n">
        <v>0</v>
      </c>
      <c r="P5404" t="n">
        <v>0</v>
      </c>
      <c r="Q5404" t="n">
        <v>0</v>
      </c>
      <c r="R5404" s="2" t="inlineStr"/>
    </row>
    <row r="5405" ht="15" customHeight="1">
      <c r="A5405" t="inlineStr">
        <is>
          <t>A 17834-2023</t>
        </is>
      </c>
      <c r="B5405" s="1" t="n">
        <v>45037</v>
      </c>
      <c r="C5405" s="1" t="n">
        <v>45210</v>
      </c>
      <c r="D5405" t="inlineStr">
        <is>
          <t>DALARNAS LÄN</t>
        </is>
      </c>
      <c r="E5405" t="inlineStr">
        <is>
          <t>SMEDJEBACKEN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17855-2023</t>
        </is>
      </c>
      <c r="B5406" s="1" t="n">
        <v>45037</v>
      </c>
      <c r="C5406" s="1" t="n">
        <v>45210</v>
      </c>
      <c r="D5406" t="inlineStr">
        <is>
          <t>DALARNAS LÄN</t>
        </is>
      </c>
      <c r="E5406" t="inlineStr">
        <is>
          <t>SÄTER</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17893-2023</t>
        </is>
      </c>
      <c r="B5407" s="1" t="n">
        <v>45039</v>
      </c>
      <c r="C5407" s="1" t="n">
        <v>45210</v>
      </c>
      <c r="D5407" t="inlineStr">
        <is>
          <t>DALARNAS LÄN</t>
        </is>
      </c>
      <c r="E5407" t="inlineStr">
        <is>
          <t>LEKSAND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18002-2023</t>
        </is>
      </c>
      <c r="B5408" s="1" t="n">
        <v>45040</v>
      </c>
      <c r="C5408" s="1" t="n">
        <v>45210</v>
      </c>
      <c r="D5408" t="inlineStr">
        <is>
          <t>DALARNAS LÄN</t>
        </is>
      </c>
      <c r="E5408" t="inlineStr">
        <is>
          <t>SMEDJEBACKEN</t>
        </is>
      </c>
      <c r="G5408" t="n">
        <v>7.5</v>
      </c>
      <c r="H5408" t="n">
        <v>0</v>
      </c>
      <c r="I5408" t="n">
        <v>0</v>
      </c>
      <c r="J5408" t="n">
        <v>0</v>
      </c>
      <c r="K5408" t="n">
        <v>0</v>
      </c>
      <c r="L5408" t="n">
        <v>0</v>
      </c>
      <c r="M5408" t="n">
        <v>0</v>
      </c>
      <c r="N5408" t="n">
        <v>0</v>
      </c>
      <c r="O5408" t="n">
        <v>0</v>
      </c>
      <c r="P5408" t="n">
        <v>0</v>
      </c>
      <c r="Q5408" t="n">
        <v>0</v>
      </c>
      <c r="R5408" s="2" t="inlineStr"/>
    </row>
    <row r="5409" ht="15" customHeight="1">
      <c r="A5409" t="inlineStr">
        <is>
          <t>A 18010-2023</t>
        </is>
      </c>
      <c r="B5409" s="1" t="n">
        <v>45040</v>
      </c>
      <c r="C5409" s="1" t="n">
        <v>45210</v>
      </c>
      <c r="D5409" t="inlineStr">
        <is>
          <t>DALARNAS LÄN</t>
        </is>
      </c>
      <c r="E5409" t="inlineStr">
        <is>
          <t>VANSBRO</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18037-2023</t>
        </is>
      </c>
      <c r="B5410" s="1" t="n">
        <v>45040</v>
      </c>
      <c r="C5410" s="1" t="n">
        <v>45210</v>
      </c>
      <c r="D5410" t="inlineStr">
        <is>
          <t>DALARNAS LÄN</t>
        </is>
      </c>
      <c r="E5410" t="inlineStr">
        <is>
          <t>ORSA</t>
        </is>
      </c>
      <c r="G5410" t="n">
        <v>6.6</v>
      </c>
      <c r="H5410" t="n">
        <v>0</v>
      </c>
      <c r="I5410" t="n">
        <v>0</v>
      </c>
      <c r="J5410" t="n">
        <v>0</v>
      </c>
      <c r="K5410" t="n">
        <v>0</v>
      </c>
      <c r="L5410" t="n">
        <v>0</v>
      </c>
      <c r="M5410" t="n">
        <v>0</v>
      </c>
      <c r="N5410" t="n">
        <v>0</v>
      </c>
      <c r="O5410" t="n">
        <v>0</v>
      </c>
      <c r="P5410" t="n">
        <v>0</v>
      </c>
      <c r="Q5410" t="n">
        <v>0</v>
      </c>
      <c r="R5410" s="2" t="inlineStr"/>
    </row>
    <row r="5411" ht="15" customHeight="1">
      <c r="A5411" t="inlineStr">
        <is>
          <t>A 18007-2023</t>
        </is>
      </c>
      <c r="B5411" s="1" t="n">
        <v>45040</v>
      </c>
      <c r="C5411" s="1" t="n">
        <v>45210</v>
      </c>
      <c r="D5411" t="inlineStr">
        <is>
          <t>DALARNAS LÄN</t>
        </is>
      </c>
      <c r="E5411" t="inlineStr">
        <is>
          <t>SMEDJEBACKEN</t>
        </is>
      </c>
      <c r="G5411" t="n">
        <v>4.4</v>
      </c>
      <c r="H5411" t="n">
        <v>0</v>
      </c>
      <c r="I5411" t="n">
        <v>0</v>
      </c>
      <c r="J5411" t="n">
        <v>0</v>
      </c>
      <c r="K5411" t="n">
        <v>0</v>
      </c>
      <c r="L5411" t="n">
        <v>0</v>
      </c>
      <c r="M5411" t="n">
        <v>0</v>
      </c>
      <c r="N5411" t="n">
        <v>0</v>
      </c>
      <c r="O5411" t="n">
        <v>0</v>
      </c>
      <c r="P5411" t="n">
        <v>0</v>
      </c>
      <c r="Q5411" t="n">
        <v>0</v>
      </c>
      <c r="R5411" s="2" t="inlineStr"/>
    </row>
    <row r="5412" ht="15" customHeight="1">
      <c r="A5412" t="inlineStr">
        <is>
          <t>A 18050-2023</t>
        </is>
      </c>
      <c r="B5412" s="1" t="n">
        <v>45040</v>
      </c>
      <c r="C5412" s="1" t="n">
        <v>45210</v>
      </c>
      <c r="D5412" t="inlineStr">
        <is>
          <t>DALARNAS LÄN</t>
        </is>
      </c>
      <c r="E5412" t="inlineStr">
        <is>
          <t>FALUN</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18197-2023</t>
        </is>
      </c>
      <c r="B5413" s="1" t="n">
        <v>45040</v>
      </c>
      <c r="C5413" s="1" t="n">
        <v>45210</v>
      </c>
      <c r="D5413" t="inlineStr">
        <is>
          <t>DALARNAS LÄN</t>
        </is>
      </c>
      <c r="E5413" t="inlineStr">
        <is>
          <t>AVESTA</t>
        </is>
      </c>
      <c r="G5413" t="n">
        <v>1.8</v>
      </c>
      <c r="H5413" t="n">
        <v>0</v>
      </c>
      <c r="I5413" t="n">
        <v>0</v>
      </c>
      <c r="J5413" t="n">
        <v>0</v>
      </c>
      <c r="K5413" t="n">
        <v>0</v>
      </c>
      <c r="L5413" t="n">
        <v>0</v>
      </c>
      <c r="M5413" t="n">
        <v>0</v>
      </c>
      <c r="N5413" t="n">
        <v>0</v>
      </c>
      <c r="O5413" t="n">
        <v>0</v>
      </c>
      <c r="P5413" t="n">
        <v>0</v>
      </c>
      <c r="Q5413" t="n">
        <v>0</v>
      </c>
      <c r="R5413" s="2" t="inlineStr"/>
    </row>
    <row r="5414" ht="15" customHeight="1">
      <c r="A5414" t="inlineStr">
        <is>
          <t>A 17910-2023</t>
        </is>
      </c>
      <c r="B5414" s="1" t="n">
        <v>45040</v>
      </c>
      <c r="C5414" s="1" t="n">
        <v>45210</v>
      </c>
      <c r="D5414" t="inlineStr">
        <is>
          <t>DALARNAS LÄN</t>
        </is>
      </c>
      <c r="E5414" t="inlineStr">
        <is>
          <t>FALUN</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18069-2023</t>
        </is>
      </c>
      <c r="B5415" s="1" t="n">
        <v>45040</v>
      </c>
      <c r="C5415" s="1" t="n">
        <v>45210</v>
      </c>
      <c r="D5415" t="inlineStr">
        <is>
          <t>DALARNAS LÄN</t>
        </is>
      </c>
      <c r="E5415" t="inlineStr">
        <is>
          <t>ORSA</t>
        </is>
      </c>
      <c r="G5415" t="n">
        <v>3.7</v>
      </c>
      <c r="H5415" t="n">
        <v>0</v>
      </c>
      <c r="I5415" t="n">
        <v>0</v>
      </c>
      <c r="J5415" t="n">
        <v>0</v>
      </c>
      <c r="K5415" t="n">
        <v>0</v>
      </c>
      <c r="L5415" t="n">
        <v>0</v>
      </c>
      <c r="M5415" t="n">
        <v>0</v>
      </c>
      <c r="N5415" t="n">
        <v>0</v>
      </c>
      <c r="O5415" t="n">
        <v>0</v>
      </c>
      <c r="P5415" t="n">
        <v>0</v>
      </c>
      <c r="Q5415" t="n">
        <v>0</v>
      </c>
      <c r="R5415" s="2" t="inlineStr"/>
    </row>
    <row r="5416" ht="15" customHeight="1">
      <c r="A5416" t="inlineStr">
        <is>
          <t>A 18177-2023</t>
        </is>
      </c>
      <c r="B5416" s="1" t="n">
        <v>45041</v>
      </c>
      <c r="C5416" s="1" t="n">
        <v>45210</v>
      </c>
      <c r="D5416" t="inlineStr">
        <is>
          <t>DALARNAS LÄN</t>
        </is>
      </c>
      <c r="E5416" t="inlineStr">
        <is>
          <t>SMEDJEBACKEN</t>
        </is>
      </c>
      <c r="G5416" t="n">
        <v>24.8</v>
      </c>
      <c r="H5416" t="n">
        <v>0</v>
      </c>
      <c r="I5416" t="n">
        <v>0</v>
      </c>
      <c r="J5416" t="n">
        <v>0</v>
      </c>
      <c r="K5416" t="n">
        <v>0</v>
      </c>
      <c r="L5416" t="n">
        <v>0</v>
      </c>
      <c r="M5416" t="n">
        <v>0</v>
      </c>
      <c r="N5416" t="n">
        <v>0</v>
      </c>
      <c r="O5416" t="n">
        <v>0</v>
      </c>
      <c r="P5416" t="n">
        <v>0</v>
      </c>
      <c r="Q5416" t="n">
        <v>0</v>
      </c>
      <c r="R5416" s="2" t="inlineStr"/>
    </row>
    <row r="5417" ht="15" customHeight="1">
      <c r="A5417" t="inlineStr">
        <is>
          <t>A 18584-2023</t>
        </is>
      </c>
      <c r="B5417" s="1" t="n">
        <v>45041</v>
      </c>
      <c r="C5417" s="1" t="n">
        <v>45210</v>
      </c>
      <c r="D5417" t="inlineStr">
        <is>
          <t>DALARNAS LÄN</t>
        </is>
      </c>
      <c r="E5417" t="inlineStr">
        <is>
          <t>MALUNG-SÄLEN</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18239-2023</t>
        </is>
      </c>
      <c r="B5418" s="1" t="n">
        <v>45041</v>
      </c>
      <c r="C5418" s="1" t="n">
        <v>45210</v>
      </c>
      <c r="D5418" t="inlineStr">
        <is>
          <t>DALARNAS LÄN</t>
        </is>
      </c>
      <c r="E5418" t="inlineStr">
        <is>
          <t>MALUNG-SÄLEN</t>
        </is>
      </c>
      <c r="F5418" t="inlineStr">
        <is>
          <t>Bergvik skog öst AB</t>
        </is>
      </c>
      <c r="G5418" t="n">
        <v>10.3</v>
      </c>
      <c r="H5418" t="n">
        <v>0</v>
      </c>
      <c r="I5418" t="n">
        <v>0</v>
      </c>
      <c r="J5418" t="n">
        <v>0</v>
      </c>
      <c r="K5418" t="n">
        <v>0</v>
      </c>
      <c r="L5418" t="n">
        <v>0</v>
      </c>
      <c r="M5418" t="n">
        <v>0</v>
      </c>
      <c r="N5418" t="n">
        <v>0</v>
      </c>
      <c r="O5418" t="n">
        <v>0</v>
      </c>
      <c r="P5418" t="n">
        <v>0</v>
      </c>
      <c r="Q5418" t="n">
        <v>0</v>
      </c>
      <c r="R5418" s="2" t="inlineStr"/>
    </row>
    <row r="5419" ht="15" customHeight="1">
      <c r="A5419" t="inlineStr">
        <is>
          <t>A 18294-2023</t>
        </is>
      </c>
      <c r="B5419" s="1" t="n">
        <v>45041</v>
      </c>
      <c r="C5419" s="1" t="n">
        <v>45210</v>
      </c>
      <c r="D5419" t="inlineStr">
        <is>
          <t>DALARNAS LÄN</t>
        </is>
      </c>
      <c r="E5419" t="inlineStr">
        <is>
          <t>SMEDJEBACKEN</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18333-2023</t>
        </is>
      </c>
      <c r="B5420" s="1" t="n">
        <v>45041</v>
      </c>
      <c r="C5420" s="1" t="n">
        <v>45210</v>
      </c>
      <c r="D5420" t="inlineStr">
        <is>
          <t>DALARNAS LÄN</t>
        </is>
      </c>
      <c r="E5420" t="inlineStr">
        <is>
          <t>AVESTA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18398-2023</t>
        </is>
      </c>
      <c r="B5421" s="1" t="n">
        <v>45042</v>
      </c>
      <c r="C5421" s="1" t="n">
        <v>45210</v>
      </c>
      <c r="D5421" t="inlineStr">
        <is>
          <t>DALARNAS LÄN</t>
        </is>
      </c>
      <c r="E5421" t="inlineStr">
        <is>
          <t>FALUN</t>
        </is>
      </c>
      <c r="F5421" t="inlineStr">
        <is>
          <t>Bergvik skog väst AB</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18407-2023</t>
        </is>
      </c>
      <c r="B5422" s="1" t="n">
        <v>45042</v>
      </c>
      <c r="C5422" s="1" t="n">
        <v>45210</v>
      </c>
      <c r="D5422" t="inlineStr">
        <is>
          <t>DALARNAS LÄN</t>
        </is>
      </c>
      <c r="E5422" t="inlineStr">
        <is>
          <t>LEKSAND</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18802-2023</t>
        </is>
      </c>
      <c r="B5423" s="1" t="n">
        <v>45042</v>
      </c>
      <c r="C5423" s="1" t="n">
        <v>45210</v>
      </c>
      <c r="D5423" t="inlineStr">
        <is>
          <t>DALARNAS LÄN</t>
        </is>
      </c>
      <c r="E5423" t="inlineStr">
        <is>
          <t>RÄTTVIK</t>
        </is>
      </c>
      <c r="G5423" t="n">
        <v>3.2</v>
      </c>
      <c r="H5423" t="n">
        <v>0</v>
      </c>
      <c r="I5423" t="n">
        <v>0</v>
      </c>
      <c r="J5423" t="n">
        <v>0</v>
      </c>
      <c r="K5423" t="n">
        <v>0</v>
      </c>
      <c r="L5423" t="n">
        <v>0</v>
      </c>
      <c r="M5423" t="n">
        <v>0</v>
      </c>
      <c r="N5423" t="n">
        <v>0</v>
      </c>
      <c r="O5423" t="n">
        <v>0</v>
      </c>
      <c r="P5423" t="n">
        <v>0</v>
      </c>
      <c r="Q5423" t="n">
        <v>0</v>
      </c>
      <c r="R5423" s="2" t="inlineStr"/>
    </row>
    <row r="5424" ht="15" customHeight="1">
      <c r="A5424" t="inlineStr">
        <is>
          <t>A 18421-2023</t>
        </is>
      </c>
      <c r="B5424" s="1" t="n">
        <v>45042</v>
      </c>
      <c r="C5424" s="1" t="n">
        <v>45210</v>
      </c>
      <c r="D5424" t="inlineStr">
        <is>
          <t>DALARNAS LÄN</t>
        </is>
      </c>
      <c r="E5424" t="inlineStr">
        <is>
          <t>FALUN</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18471-2023</t>
        </is>
      </c>
      <c r="B5425" s="1" t="n">
        <v>45042</v>
      </c>
      <c r="C5425" s="1" t="n">
        <v>45210</v>
      </c>
      <c r="D5425" t="inlineStr">
        <is>
          <t>DALARNAS LÄN</t>
        </is>
      </c>
      <c r="E5425" t="inlineStr">
        <is>
          <t>FALUN</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18708-2023</t>
        </is>
      </c>
      <c r="B5426" s="1" t="n">
        <v>45043</v>
      </c>
      <c r="C5426" s="1" t="n">
        <v>45210</v>
      </c>
      <c r="D5426" t="inlineStr">
        <is>
          <t>DALARNAS LÄN</t>
        </is>
      </c>
      <c r="E5426" t="inlineStr">
        <is>
          <t>LUDVIKA</t>
        </is>
      </c>
      <c r="F5426" t="inlineStr">
        <is>
          <t>Bergvik skog väst AB</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18725-2023</t>
        </is>
      </c>
      <c r="B5427" s="1" t="n">
        <v>45043</v>
      </c>
      <c r="C5427" s="1" t="n">
        <v>45210</v>
      </c>
      <c r="D5427" t="inlineStr">
        <is>
          <t>DALARNAS LÄN</t>
        </is>
      </c>
      <c r="E5427" t="inlineStr">
        <is>
          <t>MORA</t>
        </is>
      </c>
      <c r="G5427" t="n">
        <v>14.3</v>
      </c>
      <c r="H5427" t="n">
        <v>0</v>
      </c>
      <c r="I5427" t="n">
        <v>0</v>
      </c>
      <c r="J5427" t="n">
        <v>0</v>
      </c>
      <c r="K5427" t="n">
        <v>0</v>
      </c>
      <c r="L5427" t="n">
        <v>0</v>
      </c>
      <c r="M5427" t="n">
        <v>0</v>
      </c>
      <c r="N5427" t="n">
        <v>0</v>
      </c>
      <c r="O5427" t="n">
        <v>0</v>
      </c>
      <c r="P5427" t="n">
        <v>0</v>
      </c>
      <c r="Q5427" t="n">
        <v>0</v>
      </c>
      <c r="R5427" s="2" t="inlineStr"/>
    </row>
    <row r="5428" ht="15" customHeight="1">
      <c r="A5428" t="inlineStr">
        <is>
          <t>A 18817-2023</t>
        </is>
      </c>
      <c r="B5428" s="1" t="n">
        <v>45043</v>
      </c>
      <c r="C5428" s="1" t="n">
        <v>45210</v>
      </c>
      <c r="D5428" t="inlineStr">
        <is>
          <t>DALARNAS LÄN</t>
        </is>
      </c>
      <c r="E5428" t="inlineStr">
        <is>
          <t>ORSA</t>
        </is>
      </c>
      <c r="G5428" t="n">
        <v>4.4</v>
      </c>
      <c r="H5428" t="n">
        <v>0</v>
      </c>
      <c r="I5428" t="n">
        <v>0</v>
      </c>
      <c r="J5428" t="n">
        <v>0</v>
      </c>
      <c r="K5428" t="n">
        <v>0</v>
      </c>
      <c r="L5428" t="n">
        <v>0</v>
      </c>
      <c r="M5428" t="n">
        <v>0</v>
      </c>
      <c r="N5428" t="n">
        <v>0</v>
      </c>
      <c r="O5428" t="n">
        <v>0</v>
      </c>
      <c r="P5428" t="n">
        <v>0</v>
      </c>
      <c r="Q5428" t="n">
        <v>0</v>
      </c>
      <c r="R5428" s="2" t="inlineStr"/>
    </row>
    <row r="5429" ht="15" customHeight="1">
      <c r="A5429" t="inlineStr">
        <is>
          <t>A 18966-2023</t>
        </is>
      </c>
      <c r="B5429" s="1" t="n">
        <v>45044</v>
      </c>
      <c r="C5429" s="1" t="n">
        <v>45210</v>
      </c>
      <c r="D5429" t="inlineStr">
        <is>
          <t>DALARNAS LÄN</t>
        </is>
      </c>
      <c r="E5429" t="inlineStr">
        <is>
          <t>AVESTA</t>
        </is>
      </c>
      <c r="G5429" t="n">
        <v>3.8</v>
      </c>
      <c r="H5429" t="n">
        <v>0</v>
      </c>
      <c r="I5429" t="n">
        <v>0</v>
      </c>
      <c r="J5429" t="n">
        <v>0</v>
      </c>
      <c r="K5429" t="n">
        <v>0</v>
      </c>
      <c r="L5429" t="n">
        <v>0</v>
      </c>
      <c r="M5429" t="n">
        <v>0</v>
      </c>
      <c r="N5429" t="n">
        <v>0</v>
      </c>
      <c r="O5429" t="n">
        <v>0</v>
      </c>
      <c r="P5429" t="n">
        <v>0</v>
      </c>
      <c r="Q5429" t="n">
        <v>0</v>
      </c>
      <c r="R5429" s="2" t="inlineStr"/>
    </row>
    <row r="5430" ht="15" customHeight="1">
      <c r="A5430" t="inlineStr">
        <is>
          <t>A 19202-2023</t>
        </is>
      </c>
      <c r="B5430" s="1" t="n">
        <v>45044</v>
      </c>
      <c r="C5430" s="1" t="n">
        <v>45210</v>
      </c>
      <c r="D5430" t="inlineStr">
        <is>
          <t>DALARNAS LÄN</t>
        </is>
      </c>
      <c r="E5430" t="inlineStr">
        <is>
          <t>MORA</t>
        </is>
      </c>
      <c r="G5430" t="n">
        <v>28.5</v>
      </c>
      <c r="H5430" t="n">
        <v>0</v>
      </c>
      <c r="I5430" t="n">
        <v>0</v>
      </c>
      <c r="J5430" t="n">
        <v>0</v>
      </c>
      <c r="K5430" t="n">
        <v>0</v>
      </c>
      <c r="L5430" t="n">
        <v>0</v>
      </c>
      <c r="M5430" t="n">
        <v>0</v>
      </c>
      <c r="N5430" t="n">
        <v>0</v>
      </c>
      <c r="O5430" t="n">
        <v>0</v>
      </c>
      <c r="P5430" t="n">
        <v>0</v>
      </c>
      <c r="Q5430" t="n">
        <v>0</v>
      </c>
      <c r="R5430" s="2" t="inlineStr"/>
    </row>
    <row r="5431" ht="15" customHeight="1">
      <c r="A5431" t="inlineStr">
        <is>
          <t>A 18936-2023</t>
        </is>
      </c>
      <c r="B5431" s="1" t="n">
        <v>45044</v>
      </c>
      <c r="C5431" s="1" t="n">
        <v>45210</v>
      </c>
      <c r="D5431" t="inlineStr">
        <is>
          <t>DALARNAS LÄN</t>
        </is>
      </c>
      <c r="E5431" t="inlineStr">
        <is>
          <t>LUDVIKA</t>
        </is>
      </c>
      <c r="F5431" t="inlineStr">
        <is>
          <t>Bergvik skog väst AB</t>
        </is>
      </c>
      <c r="G5431" t="n">
        <v>7.2</v>
      </c>
      <c r="H5431" t="n">
        <v>0</v>
      </c>
      <c r="I5431" t="n">
        <v>0</v>
      </c>
      <c r="J5431" t="n">
        <v>0</v>
      </c>
      <c r="K5431" t="n">
        <v>0</v>
      </c>
      <c r="L5431" t="n">
        <v>0</v>
      </c>
      <c r="M5431" t="n">
        <v>0</v>
      </c>
      <c r="N5431" t="n">
        <v>0</v>
      </c>
      <c r="O5431" t="n">
        <v>0</v>
      </c>
      <c r="P5431" t="n">
        <v>0</v>
      </c>
      <c r="Q5431" t="n">
        <v>0</v>
      </c>
      <c r="R5431" s="2" t="inlineStr"/>
    </row>
    <row r="5432" ht="15" customHeight="1">
      <c r="A5432" t="inlineStr">
        <is>
          <t>A 19191-2023</t>
        </is>
      </c>
      <c r="B5432" s="1" t="n">
        <v>45044</v>
      </c>
      <c r="C5432" s="1" t="n">
        <v>45210</v>
      </c>
      <c r="D5432" t="inlineStr">
        <is>
          <t>DALARNAS LÄN</t>
        </is>
      </c>
      <c r="E5432" t="inlineStr">
        <is>
          <t>MORA</t>
        </is>
      </c>
      <c r="G5432" t="n">
        <v>12.5</v>
      </c>
      <c r="H5432" t="n">
        <v>0</v>
      </c>
      <c r="I5432" t="n">
        <v>0</v>
      </c>
      <c r="J5432" t="n">
        <v>0</v>
      </c>
      <c r="K5432" t="n">
        <v>0</v>
      </c>
      <c r="L5432" t="n">
        <v>0</v>
      </c>
      <c r="M5432" t="n">
        <v>0</v>
      </c>
      <c r="N5432" t="n">
        <v>0</v>
      </c>
      <c r="O5432" t="n">
        <v>0</v>
      </c>
      <c r="P5432" t="n">
        <v>0</v>
      </c>
      <c r="Q5432" t="n">
        <v>0</v>
      </c>
      <c r="R5432" s="2" t="inlineStr"/>
    </row>
    <row r="5433" ht="15" customHeight="1">
      <c r="A5433" t="inlineStr">
        <is>
          <t>A 18805-2023</t>
        </is>
      </c>
      <c r="B5433" s="1" t="n">
        <v>45044</v>
      </c>
      <c r="C5433" s="1" t="n">
        <v>45210</v>
      </c>
      <c r="D5433" t="inlineStr">
        <is>
          <t>DALARNAS LÄN</t>
        </is>
      </c>
      <c r="E5433" t="inlineStr">
        <is>
          <t>AVESTA</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18864-2023</t>
        </is>
      </c>
      <c r="B5434" s="1" t="n">
        <v>45044</v>
      </c>
      <c r="C5434" s="1" t="n">
        <v>45210</v>
      </c>
      <c r="D5434" t="inlineStr">
        <is>
          <t>DALARNAS LÄN</t>
        </is>
      </c>
      <c r="E5434" t="inlineStr">
        <is>
          <t>LUDVIKA</t>
        </is>
      </c>
      <c r="F5434" t="inlineStr">
        <is>
          <t>Naturvårdsverket</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18909-2023</t>
        </is>
      </c>
      <c r="B5435" s="1" t="n">
        <v>45044</v>
      </c>
      <c r="C5435" s="1" t="n">
        <v>45210</v>
      </c>
      <c r="D5435" t="inlineStr">
        <is>
          <t>DALARNAS LÄN</t>
        </is>
      </c>
      <c r="E5435" t="inlineStr">
        <is>
          <t>LEKSAND</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18925-2023</t>
        </is>
      </c>
      <c r="B5436" s="1" t="n">
        <v>45044</v>
      </c>
      <c r="C5436" s="1" t="n">
        <v>45210</v>
      </c>
      <c r="D5436" t="inlineStr">
        <is>
          <t>DALARNAS LÄN</t>
        </is>
      </c>
      <c r="E5436" t="inlineStr">
        <is>
          <t>BORLÄNGE</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18947-2023</t>
        </is>
      </c>
      <c r="B5437" s="1" t="n">
        <v>45044</v>
      </c>
      <c r="C5437" s="1" t="n">
        <v>45210</v>
      </c>
      <c r="D5437" t="inlineStr">
        <is>
          <t>DALARNAS LÄN</t>
        </is>
      </c>
      <c r="E5437" t="inlineStr">
        <is>
          <t>BORLÄNGE</t>
        </is>
      </c>
      <c r="G5437" t="n">
        <v>6</v>
      </c>
      <c r="H5437" t="n">
        <v>0</v>
      </c>
      <c r="I5437" t="n">
        <v>0</v>
      </c>
      <c r="J5437" t="n">
        <v>0</v>
      </c>
      <c r="K5437" t="n">
        <v>0</v>
      </c>
      <c r="L5437" t="n">
        <v>0</v>
      </c>
      <c r="M5437" t="n">
        <v>0</v>
      </c>
      <c r="N5437" t="n">
        <v>0</v>
      </c>
      <c r="O5437" t="n">
        <v>0</v>
      </c>
      <c r="P5437" t="n">
        <v>0</v>
      </c>
      <c r="Q5437" t="n">
        <v>0</v>
      </c>
      <c r="R5437" s="2" t="inlineStr"/>
    </row>
    <row r="5438" ht="15" customHeight="1">
      <c r="A5438" t="inlineStr">
        <is>
          <t>A 19165-2023</t>
        </is>
      </c>
      <c r="B5438" s="1" t="n">
        <v>45048</v>
      </c>
      <c r="C5438" s="1" t="n">
        <v>45210</v>
      </c>
      <c r="D5438" t="inlineStr">
        <is>
          <t>DALARNAS LÄN</t>
        </is>
      </c>
      <c r="E5438" t="inlineStr">
        <is>
          <t>GAGNEF</t>
        </is>
      </c>
      <c r="G5438" t="n">
        <v>3.7</v>
      </c>
      <c r="H5438" t="n">
        <v>0</v>
      </c>
      <c r="I5438" t="n">
        <v>0</v>
      </c>
      <c r="J5438" t="n">
        <v>0</v>
      </c>
      <c r="K5438" t="n">
        <v>0</v>
      </c>
      <c r="L5438" t="n">
        <v>0</v>
      </c>
      <c r="M5438" t="n">
        <v>0</v>
      </c>
      <c r="N5438" t="n">
        <v>0</v>
      </c>
      <c r="O5438" t="n">
        <v>0</v>
      </c>
      <c r="P5438" t="n">
        <v>0</v>
      </c>
      <c r="Q5438" t="n">
        <v>0</v>
      </c>
      <c r="R5438" s="2" t="inlineStr"/>
    </row>
    <row r="5439" ht="15" customHeight="1">
      <c r="A5439" t="inlineStr">
        <is>
          <t>A 19167-2023</t>
        </is>
      </c>
      <c r="B5439" s="1" t="n">
        <v>45048</v>
      </c>
      <c r="C5439" s="1" t="n">
        <v>45210</v>
      </c>
      <c r="D5439" t="inlineStr">
        <is>
          <t>DALARNAS LÄN</t>
        </is>
      </c>
      <c r="E5439" t="inlineStr">
        <is>
          <t>GAGNEF</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19197-2023</t>
        </is>
      </c>
      <c r="B5440" s="1" t="n">
        <v>45048</v>
      </c>
      <c r="C5440" s="1" t="n">
        <v>45210</v>
      </c>
      <c r="D5440" t="inlineStr">
        <is>
          <t>DALARNAS LÄN</t>
        </is>
      </c>
      <c r="E5440" t="inlineStr">
        <is>
          <t>GAGNEF</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19182-2023</t>
        </is>
      </c>
      <c r="B5441" s="1" t="n">
        <v>45048</v>
      </c>
      <c r="C5441" s="1" t="n">
        <v>45210</v>
      </c>
      <c r="D5441" t="inlineStr">
        <is>
          <t>DALARNAS LÄN</t>
        </is>
      </c>
      <c r="E5441" t="inlineStr">
        <is>
          <t>ÄLVDALEN</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19287-2023</t>
        </is>
      </c>
      <c r="B5442" s="1" t="n">
        <v>45049</v>
      </c>
      <c r="C5442" s="1" t="n">
        <v>45210</v>
      </c>
      <c r="D5442" t="inlineStr">
        <is>
          <t>DALARNAS LÄN</t>
        </is>
      </c>
      <c r="E5442" t="inlineStr">
        <is>
          <t>BORLÄNGE</t>
        </is>
      </c>
      <c r="F5442" t="inlineStr">
        <is>
          <t>Bergvik skog väst AB</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19316-2023</t>
        </is>
      </c>
      <c r="B5443" s="1" t="n">
        <v>45049</v>
      </c>
      <c r="C5443" s="1" t="n">
        <v>45210</v>
      </c>
      <c r="D5443" t="inlineStr">
        <is>
          <t>DALARNAS LÄN</t>
        </is>
      </c>
      <c r="E5443" t="inlineStr">
        <is>
          <t>LEKSAND</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19396-2023</t>
        </is>
      </c>
      <c r="B5444" s="1" t="n">
        <v>45049</v>
      </c>
      <c r="C5444" s="1" t="n">
        <v>45210</v>
      </c>
      <c r="D5444" t="inlineStr">
        <is>
          <t>DALARNAS LÄN</t>
        </is>
      </c>
      <c r="E5444" t="inlineStr">
        <is>
          <t>FALUN</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19331-2023</t>
        </is>
      </c>
      <c r="B5445" s="1" t="n">
        <v>45049</v>
      </c>
      <c r="C5445" s="1" t="n">
        <v>45210</v>
      </c>
      <c r="D5445" t="inlineStr">
        <is>
          <t>DALARNAS LÄN</t>
        </is>
      </c>
      <c r="E5445" t="inlineStr">
        <is>
          <t>LEKSAND</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19266-2023</t>
        </is>
      </c>
      <c r="B5446" s="1" t="n">
        <v>45049</v>
      </c>
      <c r="C5446" s="1" t="n">
        <v>45210</v>
      </c>
      <c r="D5446" t="inlineStr">
        <is>
          <t>DALARNAS LÄN</t>
        </is>
      </c>
      <c r="E5446" t="inlineStr">
        <is>
          <t>ORSA</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19286-2023</t>
        </is>
      </c>
      <c r="B5447" s="1" t="n">
        <v>45049</v>
      </c>
      <c r="C5447" s="1" t="n">
        <v>45210</v>
      </c>
      <c r="D5447" t="inlineStr">
        <is>
          <t>DALARNAS LÄN</t>
        </is>
      </c>
      <c r="E5447" t="inlineStr">
        <is>
          <t>MORA</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19417-2023</t>
        </is>
      </c>
      <c r="B5448" s="1" t="n">
        <v>45049</v>
      </c>
      <c r="C5448" s="1" t="n">
        <v>45210</v>
      </c>
      <c r="D5448" t="inlineStr">
        <is>
          <t>DALARNAS LÄN</t>
        </is>
      </c>
      <c r="E5448" t="inlineStr">
        <is>
          <t>SÄTER</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19550-2023</t>
        </is>
      </c>
      <c r="B5449" s="1" t="n">
        <v>45049</v>
      </c>
      <c r="C5449" s="1" t="n">
        <v>45210</v>
      </c>
      <c r="D5449" t="inlineStr">
        <is>
          <t>DALARNAS LÄN</t>
        </is>
      </c>
      <c r="E5449" t="inlineStr">
        <is>
          <t>LEKSAND</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19590-2023</t>
        </is>
      </c>
      <c r="B5450" s="1" t="n">
        <v>45049</v>
      </c>
      <c r="C5450" s="1" t="n">
        <v>45210</v>
      </c>
      <c r="D5450" t="inlineStr">
        <is>
          <t>DALARNAS LÄN</t>
        </is>
      </c>
      <c r="E5450" t="inlineStr">
        <is>
          <t>LEKSAND</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19536-2023</t>
        </is>
      </c>
      <c r="B5451" s="1" t="n">
        <v>45050</v>
      </c>
      <c r="C5451" s="1" t="n">
        <v>45210</v>
      </c>
      <c r="D5451" t="inlineStr">
        <is>
          <t>DALARNAS LÄN</t>
        </is>
      </c>
      <c r="E5451" t="inlineStr">
        <is>
          <t>FALUN</t>
        </is>
      </c>
      <c r="F5451" t="inlineStr">
        <is>
          <t>Bergvik skog väst AB</t>
        </is>
      </c>
      <c r="G5451" t="n">
        <v>8.199999999999999</v>
      </c>
      <c r="H5451" t="n">
        <v>0</v>
      </c>
      <c r="I5451" t="n">
        <v>0</v>
      </c>
      <c r="J5451" t="n">
        <v>0</v>
      </c>
      <c r="K5451" t="n">
        <v>0</v>
      </c>
      <c r="L5451" t="n">
        <v>0</v>
      </c>
      <c r="M5451" t="n">
        <v>0</v>
      </c>
      <c r="N5451" t="n">
        <v>0</v>
      </c>
      <c r="O5451" t="n">
        <v>0</v>
      </c>
      <c r="P5451" t="n">
        <v>0</v>
      </c>
      <c r="Q5451" t="n">
        <v>0</v>
      </c>
      <c r="R5451" s="2" t="inlineStr"/>
    </row>
    <row r="5452" ht="15" customHeight="1">
      <c r="A5452" t="inlineStr">
        <is>
          <t>A 19540-2023</t>
        </is>
      </c>
      <c r="B5452" s="1" t="n">
        <v>45050</v>
      </c>
      <c r="C5452" s="1" t="n">
        <v>45210</v>
      </c>
      <c r="D5452" t="inlineStr">
        <is>
          <t>DALARNAS LÄN</t>
        </is>
      </c>
      <c r="E5452" t="inlineStr">
        <is>
          <t>LEKSAND</t>
        </is>
      </c>
      <c r="G5452" t="n">
        <v>3.9</v>
      </c>
      <c r="H5452" t="n">
        <v>0</v>
      </c>
      <c r="I5452" t="n">
        <v>0</v>
      </c>
      <c r="J5452" t="n">
        <v>0</v>
      </c>
      <c r="K5452" t="n">
        <v>0</v>
      </c>
      <c r="L5452" t="n">
        <v>0</v>
      </c>
      <c r="M5452" t="n">
        <v>0</v>
      </c>
      <c r="N5452" t="n">
        <v>0</v>
      </c>
      <c r="O5452" t="n">
        <v>0</v>
      </c>
      <c r="P5452" t="n">
        <v>0</v>
      </c>
      <c r="Q5452" t="n">
        <v>0</v>
      </c>
      <c r="R5452" s="2" t="inlineStr"/>
    </row>
    <row r="5453" ht="15" customHeight="1">
      <c r="A5453" t="inlineStr">
        <is>
          <t>A 19560-2023</t>
        </is>
      </c>
      <c r="B5453" s="1" t="n">
        <v>45050</v>
      </c>
      <c r="C5453" s="1" t="n">
        <v>45210</v>
      </c>
      <c r="D5453" t="inlineStr">
        <is>
          <t>DALARNAS LÄN</t>
        </is>
      </c>
      <c r="E5453" t="inlineStr">
        <is>
          <t>FALUN</t>
        </is>
      </c>
      <c r="F5453" t="inlineStr">
        <is>
          <t>Bergvik skog väst AB</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19565-2023</t>
        </is>
      </c>
      <c r="B5454" s="1" t="n">
        <v>45050</v>
      </c>
      <c r="C5454" s="1" t="n">
        <v>45210</v>
      </c>
      <c r="D5454" t="inlineStr">
        <is>
          <t>DALARNAS LÄN</t>
        </is>
      </c>
      <c r="E5454" t="inlineStr">
        <is>
          <t>FALUN</t>
        </is>
      </c>
      <c r="F5454" t="inlineStr">
        <is>
          <t>Bergvik skog väst AB</t>
        </is>
      </c>
      <c r="G5454" t="n">
        <v>1.7</v>
      </c>
      <c r="H5454" t="n">
        <v>0</v>
      </c>
      <c r="I5454" t="n">
        <v>0</v>
      </c>
      <c r="J5454" t="n">
        <v>0</v>
      </c>
      <c r="K5454" t="n">
        <v>0</v>
      </c>
      <c r="L5454" t="n">
        <v>0</v>
      </c>
      <c r="M5454" t="n">
        <v>0</v>
      </c>
      <c r="N5454" t="n">
        <v>0</v>
      </c>
      <c r="O5454" t="n">
        <v>0</v>
      </c>
      <c r="P5454" t="n">
        <v>0</v>
      </c>
      <c r="Q5454" t="n">
        <v>0</v>
      </c>
      <c r="R5454" s="2" t="inlineStr"/>
    </row>
    <row r="5455" ht="15" customHeight="1">
      <c r="A5455" t="inlineStr">
        <is>
          <t>A 19585-2023</t>
        </is>
      </c>
      <c r="B5455" s="1" t="n">
        <v>45050</v>
      </c>
      <c r="C5455" s="1" t="n">
        <v>45210</v>
      </c>
      <c r="D5455" t="inlineStr">
        <is>
          <t>DALARNAS LÄN</t>
        </is>
      </c>
      <c r="E5455" t="inlineStr">
        <is>
          <t>FALUN</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19559-2023</t>
        </is>
      </c>
      <c r="B5456" s="1" t="n">
        <v>45050</v>
      </c>
      <c r="C5456" s="1" t="n">
        <v>45210</v>
      </c>
      <c r="D5456" t="inlineStr">
        <is>
          <t>DALARNAS LÄN</t>
        </is>
      </c>
      <c r="E5456" t="inlineStr">
        <is>
          <t>LEKSAND</t>
        </is>
      </c>
      <c r="G5456" t="n">
        <v>0.1</v>
      </c>
      <c r="H5456" t="n">
        <v>0</v>
      </c>
      <c r="I5456" t="n">
        <v>0</v>
      </c>
      <c r="J5456" t="n">
        <v>0</v>
      </c>
      <c r="K5456" t="n">
        <v>0</v>
      </c>
      <c r="L5456" t="n">
        <v>0</v>
      </c>
      <c r="M5456" t="n">
        <v>0</v>
      </c>
      <c r="N5456" t="n">
        <v>0</v>
      </c>
      <c r="O5456" t="n">
        <v>0</v>
      </c>
      <c r="P5456" t="n">
        <v>0</v>
      </c>
      <c r="Q5456" t="n">
        <v>0</v>
      </c>
      <c r="R5456" s="2" t="inlineStr"/>
    </row>
    <row r="5457" ht="15" customHeight="1">
      <c r="A5457" t="inlineStr">
        <is>
          <t>A 19542-2023</t>
        </is>
      </c>
      <c r="B5457" s="1" t="n">
        <v>45050</v>
      </c>
      <c r="C5457" s="1" t="n">
        <v>45210</v>
      </c>
      <c r="D5457" t="inlineStr">
        <is>
          <t>DALARNAS LÄN</t>
        </is>
      </c>
      <c r="E5457" t="inlineStr">
        <is>
          <t>FALUN</t>
        </is>
      </c>
      <c r="F5457" t="inlineStr">
        <is>
          <t>Bergvik skog väst AB</t>
        </is>
      </c>
      <c r="G5457" t="n">
        <v>3.7</v>
      </c>
      <c r="H5457" t="n">
        <v>0</v>
      </c>
      <c r="I5457" t="n">
        <v>0</v>
      </c>
      <c r="J5457" t="n">
        <v>0</v>
      </c>
      <c r="K5457" t="n">
        <v>0</v>
      </c>
      <c r="L5457" t="n">
        <v>0</v>
      </c>
      <c r="M5457" t="n">
        <v>0</v>
      </c>
      <c r="N5457" t="n">
        <v>0</v>
      </c>
      <c r="O5457" t="n">
        <v>0</v>
      </c>
      <c r="P5457" t="n">
        <v>0</v>
      </c>
      <c r="Q5457" t="n">
        <v>0</v>
      </c>
      <c r="R5457" s="2" t="inlineStr"/>
    </row>
    <row r="5458" ht="15" customHeight="1">
      <c r="A5458" t="inlineStr">
        <is>
          <t>A 19446-2023</t>
        </is>
      </c>
      <c r="B5458" s="1" t="n">
        <v>45050</v>
      </c>
      <c r="C5458" s="1" t="n">
        <v>45210</v>
      </c>
      <c r="D5458" t="inlineStr">
        <is>
          <t>DALARNAS LÄN</t>
        </is>
      </c>
      <c r="E5458" t="inlineStr">
        <is>
          <t>FALUN</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19530-2023</t>
        </is>
      </c>
      <c r="B5459" s="1" t="n">
        <v>45050</v>
      </c>
      <c r="C5459" s="1" t="n">
        <v>45210</v>
      </c>
      <c r="D5459" t="inlineStr">
        <is>
          <t>DALARNAS LÄN</t>
        </is>
      </c>
      <c r="E5459" t="inlineStr">
        <is>
          <t>GAGNEF</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20150-2023</t>
        </is>
      </c>
      <c r="B5460" s="1" t="n">
        <v>45051</v>
      </c>
      <c r="C5460" s="1" t="n">
        <v>45210</v>
      </c>
      <c r="D5460" t="inlineStr">
        <is>
          <t>DALARNAS LÄN</t>
        </is>
      </c>
      <c r="E5460" t="inlineStr">
        <is>
          <t>LEKSAND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19851-2023</t>
        </is>
      </c>
      <c r="B5461" s="1" t="n">
        <v>45053</v>
      </c>
      <c r="C5461" s="1" t="n">
        <v>45210</v>
      </c>
      <c r="D5461" t="inlineStr">
        <is>
          <t>DALARNAS LÄN</t>
        </is>
      </c>
      <c r="E5461" t="inlineStr">
        <is>
          <t>MALUNG-SÄLEN</t>
        </is>
      </c>
      <c r="G5461" t="n">
        <v>12.6</v>
      </c>
      <c r="H5461" t="n">
        <v>0</v>
      </c>
      <c r="I5461" t="n">
        <v>0</v>
      </c>
      <c r="J5461" t="n">
        <v>0</v>
      </c>
      <c r="K5461" t="n">
        <v>0</v>
      </c>
      <c r="L5461" t="n">
        <v>0</v>
      </c>
      <c r="M5461" t="n">
        <v>0</v>
      </c>
      <c r="N5461" t="n">
        <v>0</v>
      </c>
      <c r="O5461" t="n">
        <v>0</v>
      </c>
      <c r="P5461" t="n">
        <v>0</v>
      </c>
      <c r="Q5461" t="n">
        <v>0</v>
      </c>
      <c r="R5461" s="2" t="inlineStr"/>
    </row>
    <row r="5462" ht="15" customHeight="1">
      <c r="A5462" t="inlineStr">
        <is>
          <t>A 19856-2023</t>
        </is>
      </c>
      <c r="B5462" s="1" t="n">
        <v>45053</v>
      </c>
      <c r="C5462" s="1" t="n">
        <v>45210</v>
      </c>
      <c r="D5462" t="inlineStr">
        <is>
          <t>DALARNAS LÄN</t>
        </is>
      </c>
      <c r="E5462" t="inlineStr">
        <is>
          <t>MALUNG-SÄLEN</t>
        </is>
      </c>
      <c r="G5462" t="n">
        <v>4.6</v>
      </c>
      <c r="H5462" t="n">
        <v>0</v>
      </c>
      <c r="I5462" t="n">
        <v>0</v>
      </c>
      <c r="J5462" t="n">
        <v>0</v>
      </c>
      <c r="K5462" t="n">
        <v>0</v>
      </c>
      <c r="L5462" t="n">
        <v>0</v>
      </c>
      <c r="M5462" t="n">
        <v>0</v>
      </c>
      <c r="N5462" t="n">
        <v>0</v>
      </c>
      <c r="O5462" t="n">
        <v>0</v>
      </c>
      <c r="P5462" t="n">
        <v>0</v>
      </c>
      <c r="Q5462" t="n">
        <v>0</v>
      </c>
      <c r="R5462" s="2" t="inlineStr"/>
    </row>
    <row r="5463" ht="15" customHeight="1">
      <c r="A5463" t="inlineStr">
        <is>
          <t>A 19990-2023</t>
        </is>
      </c>
      <c r="B5463" s="1" t="n">
        <v>45054</v>
      </c>
      <c r="C5463" s="1" t="n">
        <v>45210</v>
      </c>
      <c r="D5463" t="inlineStr">
        <is>
          <t>DALARNAS LÄN</t>
        </is>
      </c>
      <c r="E5463" t="inlineStr">
        <is>
          <t>BORLÄNGE</t>
        </is>
      </c>
      <c r="F5463" t="inlineStr">
        <is>
          <t>Kommuner</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20021-2023</t>
        </is>
      </c>
      <c r="B5464" s="1" t="n">
        <v>45054</v>
      </c>
      <c r="C5464" s="1" t="n">
        <v>45210</v>
      </c>
      <c r="D5464" t="inlineStr">
        <is>
          <t>DALARNAS LÄN</t>
        </is>
      </c>
      <c r="E5464" t="inlineStr">
        <is>
          <t>MALUNG-SÄLEN</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19883-2023</t>
        </is>
      </c>
      <c r="B5465" s="1" t="n">
        <v>45054</v>
      </c>
      <c r="C5465" s="1" t="n">
        <v>45210</v>
      </c>
      <c r="D5465" t="inlineStr">
        <is>
          <t>DALARNAS LÄN</t>
        </is>
      </c>
      <c r="E5465" t="inlineStr">
        <is>
          <t>BORLÄNGE</t>
        </is>
      </c>
      <c r="F5465" t="inlineStr">
        <is>
          <t>Bergvik skog väst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19974-2023</t>
        </is>
      </c>
      <c r="B5466" s="1" t="n">
        <v>45054</v>
      </c>
      <c r="C5466" s="1" t="n">
        <v>45210</v>
      </c>
      <c r="D5466" t="inlineStr">
        <is>
          <t>DALARNAS LÄN</t>
        </is>
      </c>
      <c r="E5466" t="inlineStr">
        <is>
          <t>MALUNG-SÄLEN</t>
        </is>
      </c>
      <c r="F5466" t="inlineStr">
        <is>
          <t>Bergvik skog öst AB</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19988-2023</t>
        </is>
      </c>
      <c r="B5467" s="1" t="n">
        <v>45054</v>
      </c>
      <c r="C5467" s="1" t="n">
        <v>45210</v>
      </c>
      <c r="D5467" t="inlineStr">
        <is>
          <t>DALARNAS LÄN</t>
        </is>
      </c>
      <c r="E5467" t="inlineStr">
        <is>
          <t>BORLÄNGE</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20006-2023</t>
        </is>
      </c>
      <c r="B5468" s="1" t="n">
        <v>45054</v>
      </c>
      <c r="C5468" s="1" t="n">
        <v>45210</v>
      </c>
      <c r="D5468" t="inlineStr">
        <is>
          <t>DALARNAS LÄN</t>
        </is>
      </c>
      <c r="E5468" t="inlineStr">
        <is>
          <t>FALUN</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20033-2023</t>
        </is>
      </c>
      <c r="B5469" s="1" t="n">
        <v>45054</v>
      </c>
      <c r="C5469" s="1" t="n">
        <v>45210</v>
      </c>
      <c r="D5469" t="inlineStr">
        <is>
          <t>DALARNAS LÄN</t>
        </is>
      </c>
      <c r="E5469" t="inlineStr">
        <is>
          <t>BORLÄNGE</t>
        </is>
      </c>
      <c r="G5469" t="n">
        <v>3.6</v>
      </c>
      <c r="H5469" t="n">
        <v>0</v>
      </c>
      <c r="I5469" t="n">
        <v>0</v>
      </c>
      <c r="J5469" t="n">
        <v>0</v>
      </c>
      <c r="K5469" t="n">
        <v>0</v>
      </c>
      <c r="L5469" t="n">
        <v>0</v>
      </c>
      <c r="M5469" t="n">
        <v>0</v>
      </c>
      <c r="N5469" t="n">
        <v>0</v>
      </c>
      <c r="O5469" t="n">
        <v>0</v>
      </c>
      <c r="P5469" t="n">
        <v>0</v>
      </c>
      <c r="Q5469" t="n">
        <v>0</v>
      </c>
      <c r="R5469" s="2" t="inlineStr"/>
    </row>
    <row r="5470" ht="15" customHeight="1">
      <c r="A5470" t="inlineStr">
        <is>
          <t>A 20514-2023</t>
        </is>
      </c>
      <c r="B5470" s="1" t="n">
        <v>45054</v>
      </c>
      <c r="C5470" s="1" t="n">
        <v>45210</v>
      </c>
      <c r="D5470" t="inlineStr">
        <is>
          <t>DALARNAS LÄN</t>
        </is>
      </c>
      <c r="E5470" t="inlineStr">
        <is>
          <t>LEKSAND</t>
        </is>
      </c>
      <c r="G5470" t="n">
        <v>3.2</v>
      </c>
      <c r="H5470" t="n">
        <v>0</v>
      </c>
      <c r="I5470" t="n">
        <v>0</v>
      </c>
      <c r="J5470" t="n">
        <v>0</v>
      </c>
      <c r="K5470" t="n">
        <v>0</v>
      </c>
      <c r="L5470" t="n">
        <v>0</v>
      </c>
      <c r="M5470" t="n">
        <v>0</v>
      </c>
      <c r="N5470" t="n">
        <v>0</v>
      </c>
      <c r="O5470" t="n">
        <v>0</v>
      </c>
      <c r="P5470" t="n">
        <v>0</v>
      </c>
      <c r="Q5470" t="n">
        <v>0</v>
      </c>
      <c r="R5470" s="2" t="inlineStr"/>
    </row>
    <row r="5471" ht="15" customHeight="1">
      <c r="A5471" t="inlineStr">
        <is>
          <t>A 19986-2023</t>
        </is>
      </c>
      <c r="B5471" s="1" t="n">
        <v>45054</v>
      </c>
      <c r="C5471" s="1" t="n">
        <v>45210</v>
      </c>
      <c r="D5471" t="inlineStr">
        <is>
          <t>DALARNAS LÄN</t>
        </is>
      </c>
      <c r="E5471" t="inlineStr">
        <is>
          <t>BORLÄNGE</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20026-2023</t>
        </is>
      </c>
      <c r="B5472" s="1" t="n">
        <v>45054</v>
      </c>
      <c r="C5472" s="1" t="n">
        <v>45210</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20002-2023</t>
        </is>
      </c>
      <c r="B5473" s="1" t="n">
        <v>45054</v>
      </c>
      <c r="C5473" s="1" t="n">
        <v>45210</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20225-2023</t>
        </is>
      </c>
      <c r="B5474" s="1" t="n">
        <v>45054</v>
      </c>
      <c r="C5474" s="1" t="n">
        <v>45210</v>
      </c>
      <c r="D5474" t="inlineStr">
        <is>
          <t>DALARNAS LÄN</t>
        </is>
      </c>
      <c r="E5474" t="inlineStr">
        <is>
          <t>LUDVIKA</t>
        </is>
      </c>
      <c r="G5474" t="n">
        <v>4.7</v>
      </c>
      <c r="H5474" t="n">
        <v>0</v>
      </c>
      <c r="I5474" t="n">
        <v>0</v>
      </c>
      <c r="J5474" t="n">
        <v>0</v>
      </c>
      <c r="K5474" t="n">
        <v>0</v>
      </c>
      <c r="L5474" t="n">
        <v>0</v>
      </c>
      <c r="M5474" t="n">
        <v>0</v>
      </c>
      <c r="N5474" t="n">
        <v>0</v>
      </c>
      <c r="O5474" t="n">
        <v>0</v>
      </c>
      <c r="P5474" t="n">
        <v>0</v>
      </c>
      <c r="Q5474" t="n">
        <v>0</v>
      </c>
      <c r="R5474" s="2" t="inlineStr"/>
    </row>
    <row r="5475" ht="15" customHeight="1">
      <c r="A5475" t="inlineStr">
        <is>
          <t>A 20379-2023</t>
        </is>
      </c>
      <c r="B5475" s="1" t="n">
        <v>45054</v>
      </c>
      <c r="C5475" s="1" t="n">
        <v>45210</v>
      </c>
      <c r="D5475" t="inlineStr">
        <is>
          <t>DALARNAS LÄN</t>
        </is>
      </c>
      <c r="E5475" t="inlineStr">
        <is>
          <t>SÄTER</t>
        </is>
      </c>
      <c r="G5475" t="n">
        <v>3.8</v>
      </c>
      <c r="H5475" t="n">
        <v>0</v>
      </c>
      <c r="I5475" t="n">
        <v>0</v>
      </c>
      <c r="J5475" t="n">
        <v>0</v>
      </c>
      <c r="K5475" t="n">
        <v>0</v>
      </c>
      <c r="L5475" t="n">
        <v>0</v>
      </c>
      <c r="M5475" t="n">
        <v>0</v>
      </c>
      <c r="N5475" t="n">
        <v>0</v>
      </c>
      <c r="O5475" t="n">
        <v>0</v>
      </c>
      <c r="P5475" t="n">
        <v>0</v>
      </c>
      <c r="Q5475" t="n">
        <v>0</v>
      </c>
      <c r="R5475" s="2" t="inlineStr"/>
    </row>
    <row r="5476" ht="15" customHeight="1">
      <c r="A5476" t="inlineStr">
        <is>
          <t>A 20153-2023</t>
        </is>
      </c>
      <c r="B5476" s="1" t="n">
        <v>45055</v>
      </c>
      <c r="C5476" s="1" t="n">
        <v>45210</v>
      </c>
      <c r="D5476" t="inlineStr">
        <is>
          <t>DALARNAS LÄN</t>
        </is>
      </c>
      <c r="E5476" t="inlineStr">
        <is>
          <t>HEDEMORA</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20237-2023</t>
        </is>
      </c>
      <c r="B5477" s="1" t="n">
        <v>45055</v>
      </c>
      <c r="C5477" s="1" t="n">
        <v>45210</v>
      </c>
      <c r="D5477" t="inlineStr">
        <is>
          <t>DALARNAS LÄN</t>
        </is>
      </c>
      <c r="E5477" t="inlineStr">
        <is>
          <t>HEDEMORA</t>
        </is>
      </c>
      <c r="F5477" t="inlineStr">
        <is>
          <t>Bergvik skog väst AB</t>
        </is>
      </c>
      <c r="G5477" t="n">
        <v>2.4</v>
      </c>
      <c r="H5477" t="n">
        <v>0</v>
      </c>
      <c r="I5477" t="n">
        <v>0</v>
      </c>
      <c r="J5477" t="n">
        <v>0</v>
      </c>
      <c r="K5477" t="n">
        <v>0</v>
      </c>
      <c r="L5477" t="n">
        <v>0</v>
      </c>
      <c r="M5477" t="n">
        <v>0</v>
      </c>
      <c r="N5477" t="n">
        <v>0</v>
      </c>
      <c r="O5477" t="n">
        <v>0</v>
      </c>
      <c r="P5477" t="n">
        <v>0</v>
      </c>
      <c r="Q5477" t="n">
        <v>0</v>
      </c>
      <c r="R5477" s="2" t="inlineStr"/>
    </row>
    <row r="5478" ht="15" customHeight="1">
      <c r="A5478" t="inlineStr">
        <is>
          <t>A 20239-2023</t>
        </is>
      </c>
      <c r="B5478" s="1" t="n">
        <v>45055</v>
      </c>
      <c r="C5478" s="1" t="n">
        <v>45210</v>
      </c>
      <c r="D5478" t="inlineStr">
        <is>
          <t>DALARNAS LÄN</t>
        </is>
      </c>
      <c r="E5478" t="inlineStr">
        <is>
          <t>HEDEMORA</t>
        </is>
      </c>
      <c r="F5478" t="inlineStr">
        <is>
          <t>Bergvik skog väst AB</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20726-2023</t>
        </is>
      </c>
      <c r="B5479" s="1" t="n">
        <v>45055</v>
      </c>
      <c r="C5479" s="1" t="n">
        <v>45210</v>
      </c>
      <c r="D5479" t="inlineStr">
        <is>
          <t>DALARNAS LÄN</t>
        </is>
      </c>
      <c r="E5479" t="inlineStr">
        <is>
          <t>GAGNEF</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20114-2023</t>
        </is>
      </c>
      <c r="B5480" s="1" t="n">
        <v>45055</v>
      </c>
      <c r="C5480" s="1" t="n">
        <v>45210</v>
      </c>
      <c r="D5480" t="inlineStr">
        <is>
          <t>DALARNAS LÄN</t>
        </is>
      </c>
      <c r="E5480" t="inlineStr">
        <is>
          <t>LEKSAND</t>
        </is>
      </c>
      <c r="F5480" t="inlineStr">
        <is>
          <t>Bergvik skog väst AB</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20222-2023</t>
        </is>
      </c>
      <c r="B5481" s="1" t="n">
        <v>45055</v>
      </c>
      <c r="C5481" s="1" t="n">
        <v>45210</v>
      </c>
      <c r="D5481" t="inlineStr">
        <is>
          <t>DALARNAS LÄN</t>
        </is>
      </c>
      <c r="E5481" t="inlineStr">
        <is>
          <t>LEKSAND</t>
        </is>
      </c>
      <c r="F5481" t="inlineStr">
        <is>
          <t>Bergvik skog väst AB</t>
        </is>
      </c>
      <c r="G5481" t="n">
        <v>13</v>
      </c>
      <c r="H5481" t="n">
        <v>0</v>
      </c>
      <c r="I5481" t="n">
        <v>0</v>
      </c>
      <c r="J5481" t="n">
        <v>0</v>
      </c>
      <c r="K5481" t="n">
        <v>0</v>
      </c>
      <c r="L5481" t="n">
        <v>0</v>
      </c>
      <c r="M5481" t="n">
        <v>0</v>
      </c>
      <c r="N5481" t="n">
        <v>0</v>
      </c>
      <c r="O5481" t="n">
        <v>0</v>
      </c>
      <c r="P5481" t="n">
        <v>0</v>
      </c>
      <c r="Q5481" t="n">
        <v>0</v>
      </c>
      <c r="R5481" s="2" t="inlineStr"/>
    </row>
    <row r="5482" ht="15" customHeight="1">
      <c r="A5482" t="inlineStr">
        <is>
          <t>A 20559-2023</t>
        </is>
      </c>
      <c r="B5482" s="1" t="n">
        <v>45055</v>
      </c>
      <c r="C5482" s="1" t="n">
        <v>45210</v>
      </c>
      <c r="D5482" t="inlineStr">
        <is>
          <t>DALARNAS LÄN</t>
        </is>
      </c>
      <c r="E5482" t="inlineStr">
        <is>
          <t>LUDVIKA</t>
        </is>
      </c>
      <c r="G5482" t="n">
        <v>3.8</v>
      </c>
      <c r="H5482" t="n">
        <v>0</v>
      </c>
      <c r="I5482" t="n">
        <v>0</v>
      </c>
      <c r="J5482" t="n">
        <v>0</v>
      </c>
      <c r="K5482" t="n">
        <v>0</v>
      </c>
      <c r="L5482" t="n">
        <v>0</v>
      </c>
      <c r="M5482" t="n">
        <v>0</v>
      </c>
      <c r="N5482" t="n">
        <v>0</v>
      </c>
      <c r="O5482" t="n">
        <v>0</v>
      </c>
      <c r="P5482" t="n">
        <v>0</v>
      </c>
      <c r="Q5482" t="n">
        <v>0</v>
      </c>
      <c r="R5482" s="2" t="inlineStr"/>
    </row>
    <row r="5483" ht="15" customHeight="1">
      <c r="A5483" t="inlineStr">
        <is>
          <t>A 20227-2023</t>
        </is>
      </c>
      <c r="B5483" s="1" t="n">
        <v>45055</v>
      </c>
      <c r="C5483" s="1" t="n">
        <v>45210</v>
      </c>
      <c r="D5483" t="inlineStr">
        <is>
          <t>DALARNAS LÄN</t>
        </is>
      </c>
      <c r="E5483" t="inlineStr">
        <is>
          <t>GAGNEF</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20233-2023</t>
        </is>
      </c>
      <c r="B5484" s="1" t="n">
        <v>45055</v>
      </c>
      <c r="C5484" s="1" t="n">
        <v>45210</v>
      </c>
      <c r="D5484" t="inlineStr">
        <is>
          <t>DALARNAS LÄN</t>
        </is>
      </c>
      <c r="E5484" t="inlineStr">
        <is>
          <t>HEDEMORA</t>
        </is>
      </c>
      <c r="F5484" t="inlineStr">
        <is>
          <t>Bergvik skog väst AB</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20299-2023</t>
        </is>
      </c>
      <c r="B5485" s="1" t="n">
        <v>45056</v>
      </c>
      <c r="C5485" s="1" t="n">
        <v>45210</v>
      </c>
      <c r="D5485" t="inlineStr">
        <is>
          <t>DALARNAS LÄN</t>
        </is>
      </c>
      <c r="E5485" t="inlineStr">
        <is>
          <t>MORA</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20368-2023</t>
        </is>
      </c>
      <c r="B5486" s="1" t="n">
        <v>45056</v>
      </c>
      <c r="C5486" s="1" t="n">
        <v>45210</v>
      </c>
      <c r="D5486" t="inlineStr">
        <is>
          <t>DALARNAS LÄN</t>
        </is>
      </c>
      <c r="E5486" t="inlineStr">
        <is>
          <t>BORLÄNGE</t>
        </is>
      </c>
      <c r="F5486" t="inlineStr">
        <is>
          <t>Bergvik skog väst AB</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20400-2023</t>
        </is>
      </c>
      <c r="B5487" s="1" t="n">
        <v>45056</v>
      </c>
      <c r="C5487" s="1" t="n">
        <v>45210</v>
      </c>
      <c r="D5487" t="inlineStr">
        <is>
          <t>DALARNAS LÄN</t>
        </is>
      </c>
      <c r="E5487" t="inlineStr">
        <is>
          <t>GAGNEF</t>
        </is>
      </c>
      <c r="G5487" t="n">
        <v>2.3</v>
      </c>
      <c r="H5487" t="n">
        <v>0</v>
      </c>
      <c r="I5487" t="n">
        <v>0</v>
      </c>
      <c r="J5487" t="n">
        <v>0</v>
      </c>
      <c r="K5487" t="n">
        <v>0</v>
      </c>
      <c r="L5487" t="n">
        <v>0</v>
      </c>
      <c r="M5487" t="n">
        <v>0</v>
      </c>
      <c r="N5487" t="n">
        <v>0</v>
      </c>
      <c r="O5487" t="n">
        <v>0</v>
      </c>
      <c r="P5487" t="n">
        <v>0</v>
      </c>
      <c r="Q5487" t="n">
        <v>0</v>
      </c>
      <c r="R5487" s="2" t="inlineStr"/>
    </row>
    <row r="5488" ht="15" customHeight="1">
      <c r="A5488" t="inlineStr">
        <is>
          <t>A 20931-2023</t>
        </is>
      </c>
      <c r="B5488" s="1" t="n">
        <v>45056</v>
      </c>
      <c r="C5488" s="1" t="n">
        <v>45210</v>
      </c>
      <c r="D5488" t="inlineStr">
        <is>
          <t>DALARNAS LÄN</t>
        </is>
      </c>
      <c r="E5488" t="inlineStr">
        <is>
          <t>MALUNG-SÄLEN</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20297-2023</t>
        </is>
      </c>
      <c r="B5489" s="1" t="n">
        <v>45056</v>
      </c>
      <c r="C5489" s="1" t="n">
        <v>45210</v>
      </c>
      <c r="D5489" t="inlineStr">
        <is>
          <t>DALARNAS LÄN</t>
        </is>
      </c>
      <c r="E5489" t="inlineStr">
        <is>
          <t>MORA</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20302-2023</t>
        </is>
      </c>
      <c r="B5490" s="1" t="n">
        <v>45056</v>
      </c>
      <c r="C5490" s="1" t="n">
        <v>45210</v>
      </c>
      <c r="D5490" t="inlineStr">
        <is>
          <t>DALARNAS LÄN</t>
        </is>
      </c>
      <c r="E5490" t="inlineStr">
        <is>
          <t>ORSA</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20504-2023</t>
        </is>
      </c>
      <c r="B5491" s="1" t="n">
        <v>45057</v>
      </c>
      <c r="C5491" s="1" t="n">
        <v>45210</v>
      </c>
      <c r="D5491" t="inlineStr">
        <is>
          <t>DALARNAS LÄN</t>
        </is>
      </c>
      <c r="E5491" t="inlineStr">
        <is>
          <t>MORA</t>
        </is>
      </c>
      <c r="F5491" t="inlineStr">
        <is>
          <t>Bergvik skog väst AB</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20553-2023</t>
        </is>
      </c>
      <c r="B5492" s="1" t="n">
        <v>45057</v>
      </c>
      <c r="C5492" s="1" t="n">
        <v>45210</v>
      </c>
      <c r="D5492" t="inlineStr">
        <is>
          <t>DALARNAS LÄN</t>
        </is>
      </c>
      <c r="E5492" t="inlineStr">
        <is>
          <t>MALUNG-SÄLEN</t>
        </is>
      </c>
      <c r="G5492" t="n">
        <v>8.800000000000001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20551-2023</t>
        </is>
      </c>
      <c r="B5493" s="1" t="n">
        <v>45057</v>
      </c>
      <c r="C5493" s="1" t="n">
        <v>45210</v>
      </c>
      <c r="D5493" t="inlineStr">
        <is>
          <t>DALARNAS LÄN</t>
        </is>
      </c>
      <c r="E5493" t="inlineStr">
        <is>
          <t>ÄLVDALEN</t>
        </is>
      </c>
      <c r="G5493" t="n">
        <v>29.8</v>
      </c>
      <c r="H5493" t="n">
        <v>0</v>
      </c>
      <c r="I5493" t="n">
        <v>0</v>
      </c>
      <c r="J5493" t="n">
        <v>0</v>
      </c>
      <c r="K5493" t="n">
        <v>0</v>
      </c>
      <c r="L5493" t="n">
        <v>0</v>
      </c>
      <c r="M5493" t="n">
        <v>0</v>
      </c>
      <c r="N5493" t="n">
        <v>0</v>
      </c>
      <c r="O5493" t="n">
        <v>0</v>
      </c>
      <c r="P5493" t="n">
        <v>0</v>
      </c>
      <c r="Q5493" t="n">
        <v>0</v>
      </c>
      <c r="R5493" s="2" t="inlineStr"/>
    </row>
    <row r="5494" ht="15" customHeight="1">
      <c r="A5494" t="inlineStr">
        <is>
          <t>A 20561-2023</t>
        </is>
      </c>
      <c r="B5494" s="1" t="n">
        <v>45057</v>
      </c>
      <c r="C5494" s="1" t="n">
        <v>45210</v>
      </c>
      <c r="D5494" t="inlineStr">
        <is>
          <t>DALARNAS LÄN</t>
        </is>
      </c>
      <c r="E5494" t="inlineStr">
        <is>
          <t>ORSA</t>
        </is>
      </c>
      <c r="F5494" t="inlineStr">
        <is>
          <t>Allmännings- och besparingsskogar</t>
        </is>
      </c>
      <c r="G5494" t="n">
        <v>4.3</v>
      </c>
      <c r="H5494" t="n">
        <v>0</v>
      </c>
      <c r="I5494" t="n">
        <v>0</v>
      </c>
      <c r="J5494" t="n">
        <v>0</v>
      </c>
      <c r="K5494" t="n">
        <v>0</v>
      </c>
      <c r="L5494" t="n">
        <v>0</v>
      </c>
      <c r="M5494" t="n">
        <v>0</v>
      </c>
      <c r="N5494" t="n">
        <v>0</v>
      </c>
      <c r="O5494" t="n">
        <v>0</v>
      </c>
      <c r="P5494" t="n">
        <v>0</v>
      </c>
      <c r="Q5494" t="n">
        <v>0</v>
      </c>
      <c r="R5494" s="2" t="inlineStr"/>
    </row>
    <row r="5495" ht="15" customHeight="1">
      <c r="A5495" t="inlineStr">
        <is>
          <t>A 20493-2023</t>
        </is>
      </c>
      <c r="B5495" s="1" t="n">
        <v>45057</v>
      </c>
      <c r="C5495" s="1" t="n">
        <v>45210</v>
      </c>
      <c r="D5495" t="inlineStr">
        <is>
          <t>DALARNAS LÄN</t>
        </is>
      </c>
      <c r="E5495" t="inlineStr">
        <is>
          <t>ORSA</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20688-2023</t>
        </is>
      </c>
      <c r="B5496" s="1" t="n">
        <v>45058</v>
      </c>
      <c r="C5496" s="1" t="n">
        <v>45210</v>
      </c>
      <c r="D5496" t="inlineStr">
        <is>
          <t>DALARNAS LÄN</t>
        </is>
      </c>
      <c r="E5496" t="inlineStr">
        <is>
          <t>LUDVIKA</t>
        </is>
      </c>
      <c r="F5496" t="inlineStr">
        <is>
          <t>Bergvik skog väst AB</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21430-2023</t>
        </is>
      </c>
      <c r="B5497" s="1" t="n">
        <v>45058</v>
      </c>
      <c r="C5497" s="1" t="n">
        <v>45210</v>
      </c>
      <c r="D5497" t="inlineStr">
        <is>
          <t>DALARNAS LÄN</t>
        </is>
      </c>
      <c r="E5497" t="inlineStr">
        <is>
          <t>AVESTA</t>
        </is>
      </c>
      <c r="F5497" t="inlineStr">
        <is>
          <t>Bergvik skog väst AB</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20654-2023</t>
        </is>
      </c>
      <c r="B5498" s="1" t="n">
        <v>45058</v>
      </c>
      <c r="C5498" s="1" t="n">
        <v>45210</v>
      </c>
      <c r="D5498" t="inlineStr">
        <is>
          <t>DALARNAS LÄN</t>
        </is>
      </c>
      <c r="E5498" t="inlineStr">
        <is>
          <t>SMEDJEBACKEN</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20705-2023</t>
        </is>
      </c>
      <c r="B5499" s="1" t="n">
        <v>45058</v>
      </c>
      <c r="C5499" s="1" t="n">
        <v>45210</v>
      </c>
      <c r="D5499" t="inlineStr">
        <is>
          <t>DALARNAS LÄN</t>
        </is>
      </c>
      <c r="E5499" t="inlineStr">
        <is>
          <t>AVESTA</t>
        </is>
      </c>
      <c r="G5499" t="n">
        <v>17.6</v>
      </c>
      <c r="H5499" t="n">
        <v>0</v>
      </c>
      <c r="I5499" t="n">
        <v>0</v>
      </c>
      <c r="J5499" t="n">
        <v>0</v>
      </c>
      <c r="K5499" t="n">
        <v>0</v>
      </c>
      <c r="L5499" t="n">
        <v>0</v>
      </c>
      <c r="M5499" t="n">
        <v>0</v>
      </c>
      <c r="N5499" t="n">
        <v>0</v>
      </c>
      <c r="O5499" t="n">
        <v>0</v>
      </c>
      <c r="P5499" t="n">
        <v>0</v>
      </c>
      <c r="Q5499" t="n">
        <v>0</v>
      </c>
      <c r="R5499" s="2" t="inlineStr"/>
    </row>
    <row r="5500" ht="15" customHeight="1">
      <c r="A5500" t="inlineStr">
        <is>
          <t>A 20741-2023</t>
        </is>
      </c>
      <c r="B5500" s="1" t="n">
        <v>45058</v>
      </c>
      <c r="C5500" s="1" t="n">
        <v>45210</v>
      </c>
      <c r="D5500" t="inlineStr">
        <is>
          <t>DALARNAS LÄN</t>
        </is>
      </c>
      <c r="E5500" t="inlineStr">
        <is>
          <t>ORSA</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21412-2023</t>
        </is>
      </c>
      <c r="B5501" s="1" t="n">
        <v>45058</v>
      </c>
      <c r="C5501" s="1" t="n">
        <v>45210</v>
      </c>
      <c r="D5501" t="inlineStr">
        <is>
          <t>DALARNAS LÄN</t>
        </is>
      </c>
      <c r="E5501" t="inlineStr">
        <is>
          <t>AVESTA</t>
        </is>
      </c>
      <c r="F5501" t="inlineStr">
        <is>
          <t>Bergvik skog väst AB</t>
        </is>
      </c>
      <c r="G5501" t="n">
        <v>3.4</v>
      </c>
      <c r="H5501" t="n">
        <v>0</v>
      </c>
      <c r="I5501" t="n">
        <v>0</v>
      </c>
      <c r="J5501" t="n">
        <v>0</v>
      </c>
      <c r="K5501" t="n">
        <v>0</v>
      </c>
      <c r="L5501" t="n">
        <v>0</v>
      </c>
      <c r="M5501" t="n">
        <v>0</v>
      </c>
      <c r="N5501" t="n">
        <v>0</v>
      </c>
      <c r="O5501" t="n">
        <v>0</v>
      </c>
      <c r="P5501" t="n">
        <v>0</v>
      </c>
      <c r="Q5501" t="n">
        <v>0</v>
      </c>
      <c r="R5501" s="2" t="inlineStr"/>
    </row>
    <row r="5502" ht="15" customHeight="1">
      <c r="A5502" t="inlineStr">
        <is>
          <t>A 21480-2023</t>
        </is>
      </c>
      <c r="B5502" s="1" t="n">
        <v>45058</v>
      </c>
      <c r="C5502" s="1" t="n">
        <v>45210</v>
      </c>
      <c r="D5502" t="inlineStr">
        <is>
          <t>DALARNAS LÄN</t>
        </is>
      </c>
      <c r="E5502" t="inlineStr">
        <is>
          <t>RÄTTVIK</t>
        </is>
      </c>
      <c r="G5502" t="n">
        <v>2.2</v>
      </c>
      <c r="H5502" t="n">
        <v>0</v>
      </c>
      <c r="I5502" t="n">
        <v>0</v>
      </c>
      <c r="J5502" t="n">
        <v>0</v>
      </c>
      <c r="K5502" t="n">
        <v>0</v>
      </c>
      <c r="L5502" t="n">
        <v>0</v>
      </c>
      <c r="M5502" t="n">
        <v>0</v>
      </c>
      <c r="N5502" t="n">
        <v>0</v>
      </c>
      <c r="O5502" t="n">
        <v>0</v>
      </c>
      <c r="P5502" t="n">
        <v>0</v>
      </c>
      <c r="Q5502" t="n">
        <v>0</v>
      </c>
      <c r="R5502" s="2" t="inlineStr"/>
    </row>
    <row r="5503" ht="15" customHeight="1">
      <c r="A5503" t="inlineStr">
        <is>
          <t>A 20715-2023</t>
        </is>
      </c>
      <c r="B5503" s="1" t="n">
        <v>45058</v>
      </c>
      <c r="C5503" s="1" t="n">
        <v>45210</v>
      </c>
      <c r="D5503" t="inlineStr">
        <is>
          <t>DALARNAS LÄN</t>
        </is>
      </c>
      <c r="E5503" t="inlineStr">
        <is>
          <t>MALUNG-SÄLEN</t>
        </is>
      </c>
      <c r="F5503" t="inlineStr">
        <is>
          <t>Bergvik skog öst AB</t>
        </is>
      </c>
      <c r="G5503" t="n">
        <v>3.8</v>
      </c>
      <c r="H5503" t="n">
        <v>0</v>
      </c>
      <c r="I5503" t="n">
        <v>0</v>
      </c>
      <c r="J5503" t="n">
        <v>0</v>
      </c>
      <c r="K5503" t="n">
        <v>0</v>
      </c>
      <c r="L5503" t="n">
        <v>0</v>
      </c>
      <c r="M5503" t="n">
        <v>0</v>
      </c>
      <c r="N5503" t="n">
        <v>0</v>
      </c>
      <c r="O5503" t="n">
        <v>0</v>
      </c>
      <c r="P5503" t="n">
        <v>0</v>
      </c>
      <c r="Q5503" t="n">
        <v>0</v>
      </c>
      <c r="R5503" s="2" t="inlineStr"/>
    </row>
    <row r="5504" ht="15" customHeight="1">
      <c r="A5504" t="inlineStr">
        <is>
          <t>A 21322-2023</t>
        </is>
      </c>
      <c r="B5504" s="1" t="n">
        <v>45058</v>
      </c>
      <c r="C5504" s="1" t="n">
        <v>45210</v>
      </c>
      <c r="D5504" t="inlineStr">
        <is>
          <t>DALARNAS LÄN</t>
        </is>
      </c>
      <c r="E5504" t="inlineStr">
        <is>
          <t>AVESTA</t>
        </is>
      </c>
      <c r="F5504" t="inlineStr">
        <is>
          <t>Bergvik skog väst AB</t>
        </is>
      </c>
      <c r="G5504" t="n">
        <v>2.5</v>
      </c>
      <c r="H5504" t="n">
        <v>0</v>
      </c>
      <c r="I5504" t="n">
        <v>0</v>
      </c>
      <c r="J5504" t="n">
        <v>0</v>
      </c>
      <c r="K5504" t="n">
        <v>0</v>
      </c>
      <c r="L5504" t="n">
        <v>0</v>
      </c>
      <c r="M5504" t="n">
        <v>0</v>
      </c>
      <c r="N5504" t="n">
        <v>0</v>
      </c>
      <c r="O5504" t="n">
        <v>0</v>
      </c>
      <c r="P5504" t="n">
        <v>0</v>
      </c>
      <c r="Q5504" t="n">
        <v>0</v>
      </c>
      <c r="R5504" s="2" t="inlineStr"/>
    </row>
    <row r="5505" ht="15" customHeight="1">
      <c r="A5505" t="inlineStr">
        <is>
          <t>A 20919-2023</t>
        </is>
      </c>
      <c r="B5505" s="1" t="n">
        <v>45061</v>
      </c>
      <c r="C5505" s="1" t="n">
        <v>45210</v>
      </c>
      <c r="D5505" t="inlineStr">
        <is>
          <t>DALARNAS LÄN</t>
        </is>
      </c>
      <c r="E5505" t="inlineStr">
        <is>
          <t>SÄTER</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20936-2023</t>
        </is>
      </c>
      <c r="B5506" s="1" t="n">
        <v>45061</v>
      </c>
      <c r="C5506" s="1" t="n">
        <v>45210</v>
      </c>
      <c r="D5506" t="inlineStr">
        <is>
          <t>DALARNAS LÄN</t>
        </is>
      </c>
      <c r="E5506" t="inlineStr">
        <is>
          <t>LEKSAND</t>
        </is>
      </c>
      <c r="G5506" t="n">
        <v>0.3</v>
      </c>
      <c r="H5506" t="n">
        <v>0</v>
      </c>
      <c r="I5506" t="n">
        <v>0</v>
      </c>
      <c r="J5506" t="n">
        <v>0</v>
      </c>
      <c r="K5506" t="n">
        <v>0</v>
      </c>
      <c r="L5506" t="n">
        <v>0</v>
      </c>
      <c r="M5506" t="n">
        <v>0</v>
      </c>
      <c r="N5506" t="n">
        <v>0</v>
      </c>
      <c r="O5506" t="n">
        <v>0</v>
      </c>
      <c r="P5506" t="n">
        <v>0</v>
      </c>
      <c r="Q5506" t="n">
        <v>0</v>
      </c>
      <c r="R5506" s="2" t="inlineStr"/>
    </row>
    <row r="5507" ht="15" customHeight="1">
      <c r="A5507" t="inlineStr">
        <is>
          <t>A 21096-2023</t>
        </is>
      </c>
      <c r="B5507" s="1" t="n">
        <v>45061</v>
      </c>
      <c r="C5507" s="1" t="n">
        <v>45210</v>
      </c>
      <c r="D5507" t="inlineStr">
        <is>
          <t>DALARNAS LÄN</t>
        </is>
      </c>
      <c r="E5507" t="inlineStr">
        <is>
          <t>HEDEMORA</t>
        </is>
      </c>
      <c r="F5507" t="inlineStr">
        <is>
          <t>Sveaskog</t>
        </is>
      </c>
      <c r="G5507" t="n">
        <v>9.199999999999999</v>
      </c>
      <c r="H5507" t="n">
        <v>0</v>
      </c>
      <c r="I5507" t="n">
        <v>0</v>
      </c>
      <c r="J5507" t="n">
        <v>0</v>
      </c>
      <c r="K5507" t="n">
        <v>0</v>
      </c>
      <c r="L5507" t="n">
        <v>0</v>
      </c>
      <c r="M5507" t="n">
        <v>0</v>
      </c>
      <c r="N5507" t="n">
        <v>0</v>
      </c>
      <c r="O5507" t="n">
        <v>0</v>
      </c>
      <c r="P5507" t="n">
        <v>0</v>
      </c>
      <c r="Q5507" t="n">
        <v>0</v>
      </c>
      <c r="R5507" s="2" t="inlineStr"/>
    </row>
    <row r="5508" ht="15" customHeight="1">
      <c r="A5508" t="inlineStr">
        <is>
          <t>A 21568-2023</t>
        </is>
      </c>
      <c r="B5508" s="1" t="n">
        <v>45061</v>
      </c>
      <c r="C5508" s="1" t="n">
        <v>45210</v>
      </c>
      <c r="D5508" t="inlineStr">
        <is>
          <t>DALARNAS LÄN</t>
        </is>
      </c>
      <c r="E5508" t="inlineStr">
        <is>
          <t>MALUNG-SÄLEN</t>
        </is>
      </c>
      <c r="G5508" t="n">
        <v>6.6</v>
      </c>
      <c r="H5508" t="n">
        <v>0</v>
      </c>
      <c r="I5508" t="n">
        <v>0</v>
      </c>
      <c r="J5508" t="n">
        <v>0</v>
      </c>
      <c r="K5508" t="n">
        <v>0</v>
      </c>
      <c r="L5508" t="n">
        <v>0</v>
      </c>
      <c r="M5508" t="n">
        <v>0</v>
      </c>
      <c r="N5508" t="n">
        <v>0</v>
      </c>
      <c r="O5508" t="n">
        <v>0</v>
      </c>
      <c r="P5508" t="n">
        <v>0</v>
      </c>
      <c r="Q5508" t="n">
        <v>0</v>
      </c>
      <c r="R5508" s="2" t="inlineStr"/>
    </row>
    <row r="5509" ht="15" customHeight="1">
      <c r="A5509" t="inlineStr">
        <is>
          <t>A 20927-2023</t>
        </is>
      </c>
      <c r="B5509" s="1" t="n">
        <v>45061</v>
      </c>
      <c r="C5509" s="1" t="n">
        <v>45210</v>
      </c>
      <c r="D5509" t="inlineStr">
        <is>
          <t>DALARNAS LÄN</t>
        </is>
      </c>
      <c r="E5509" t="inlineStr">
        <is>
          <t>ORSA</t>
        </is>
      </c>
      <c r="G5509" t="n">
        <v>3.8</v>
      </c>
      <c r="H5509" t="n">
        <v>0</v>
      </c>
      <c r="I5509" t="n">
        <v>0</v>
      </c>
      <c r="J5509" t="n">
        <v>0</v>
      </c>
      <c r="K5509" t="n">
        <v>0</v>
      </c>
      <c r="L5509" t="n">
        <v>0</v>
      </c>
      <c r="M5509" t="n">
        <v>0</v>
      </c>
      <c r="N5509" t="n">
        <v>0</v>
      </c>
      <c r="O5509" t="n">
        <v>0</v>
      </c>
      <c r="P5509" t="n">
        <v>0</v>
      </c>
      <c r="Q5509" t="n">
        <v>0</v>
      </c>
      <c r="R5509" s="2" t="inlineStr"/>
    </row>
    <row r="5510" ht="15" customHeight="1">
      <c r="A5510" t="inlineStr">
        <is>
          <t>A 21026-2023</t>
        </is>
      </c>
      <c r="B5510" s="1" t="n">
        <v>45061</v>
      </c>
      <c r="C5510" s="1" t="n">
        <v>45210</v>
      </c>
      <c r="D5510" t="inlineStr">
        <is>
          <t>DALARNAS LÄN</t>
        </is>
      </c>
      <c r="E5510" t="inlineStr">
        <is>
          <t>VANSBRO</t>
        </is>
      </c>
      <c r="F5510" t="inlineStr">
        <is>
          <t>Bergvik skog väst AB</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21055-2023</t>
        </is>
      </c>
      <c r="B5511" s="1" t="n">
        <v>45061</v>
      </c>
      <c r="C5511" s="1" t="n">
        <v>45210</v>
      </c>
      <c r="D5511" t="inlineStr">
        <is>
          <t>DALARNAS LÄN</t>
        </is>
      </c>
      <c r="E5511" t="inlineStr">
        <is>
          <t>MORA</t>
        </is>
      </c>
      <c r="F5511" t="inlineStr">
        <is>
          <t>Bergvik skog öst AB</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21092-2023</t>
        </is>
      </c>
      <c r="B5512" s="1" t="n">
        <v>45061</v>
      </c>
      <c r="C5512" s="1" t="n">
        <v>45210</v>
      </c>
      <c r="D5512" t="inlineStr">
        <is>
          <t>DALARNAS LÄN</t>
        </is>
      </c>
      <c r="E5512" t="inlineStr">
        <is>
          <t>HEDEMORA</t>
        </is>
      </c>
      <c r="F5512" t="inlineStr">
        <is>
          <t>Sveaskog</t>
        </is>
      </c>
      <c r="G5512" t="n">
        <v>0.1</v>
      </c>
      <c r="H5512" t="n">
        <v>0</v>
      </c>
      <c r="I5512" t="n">
        <v>0</v>
      </c>
      <c r="J5512" t="n">
        <v>0</v>
      </c>
      <c r="K5512" t="n">
        <v>0</v>
      </c>
      <c r="L5512" t="n">
        <v>0</v>
      </c>
      <c r="M5512" t="n">
        <v>0</v>
      </c>
      <c r="N5512" t="n">
        <v>0</v>
      </c>
      <c r="O5512" t="n">
        <v>0</v>
      </c>
      <c r="P5512" t="n">
        <v>0</v>
      </c>
      <c r="Q5512" t="n">
        <v>0</v>
      </c>
      <c r="R5512" s="2" t="inlineStr"/>
    </row>
    <row r="5513" ht="15" customHeight="1">
      <c r="A5513" t="inlineStr">
        <is>
          <t>A 20946-2023</t>
        </is>
      </c>
      <c r="B5513" s="1" t="n">
        <v>45061</v>
      </c>
      <c r="C5513" s="1" t="n">
        <v>45210</v>
      </c>
      <c r="D5513" t="inlineStr">
        <is>
          <t>DALARNAS LÄN</t>
        </is>
      </c>
      <c r="E5513" t="inlineStr">
        <is>
          <t>LEKSAND</t>
        </is>
      </c>
      <c r="G5513" t="n">
        <v>2.7</v>
      </c>
      <c r="H5513" t="n">
        <v>0</v>
      </c>
      <c r="I5513" t="n">
        <v>0</v>
      </c>
      <c r="J5513" t="n">
        <v>0</v>
      </c>
      <c r="K5513" t="n">
        <v>0</v>
      </c>
      <c r="L5513" t="n">
        <v>0</v>
      </c>
      <c r="M5513" t="n">
        <v>0</v>
      </c>
      <c r="N5513" t="n">
        <v>0</v>
      </c>
      <c r="O5513" t="n">
        <v>0</v>
      </c>
      <c r="P5513" t="n">
        <v>0</v>
      </c>
      <c r="Q5513" t="n">
        <v>0</v>
      </c>
      <c r="R5513" s="2" t="inlineStr"/>
    </row>
    <row r="5514" ht="15" customHeight="1">
      <c r="A5514" t="inlineStr">
        <is>
          <t>A 21093-2023</t>
        </is>
      </c>
      <c r="B5514" s="1" t="n">
        <v>45061</v>
      </c>
      <c r="C5514" s="1" t="n">
        <v>45210</v>
      </c>
      <c r="D5514" t="inlineStr">
        <is>
          <t>DALARNAS LÄN</t>
        </is>
      </c>
      <c r="E5514" t="inlineStr">
        <is>
          <t>HEDEMORA</t>
        </is>
      </c>
      <c r="F5514" t="inlineStr">
        <is>
          <t>Sveaskog</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21402-2023</t>
        </is>
      </c>
      <c r="B5515" s="1" t="n">
        <v>45061</v>
      </c>
      <c r="C5515" s="1" t="n">
        <v>45210</v>
      </c>
      <c r="D5515" t="inlineStr">
        <is>
          <t>DALARNAS LÄN</t>
        </is>
      </c>
      <c r="E5515" t="inlineStr">
        <is>
          <t>LEKSAND</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21297-2023</t>
        </is>
      </c>
      <c r="B5516" s="1" t="n">
        <v>45062</v>
      </c>
      <c r="C5516" s="1" t="n">
        <v>45210</v>
      </c>
      <c r="D5516" t="inlineStr">
        <is>
          <t>DALARNAS LÄN</t>
        </is>
      </c>
      <c r="E5516" t="inlineStr">
        <is>
          <t>LUDVIKA</t>
        </is>
      </c>
      <c r="F5516" t="inlineStr">
        <is>
          <t>Bergvik skog väst AB</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21216-2023</t>
        </is>
      </c>
      <c r="B5517" s="1" t="n">
        <v>45062</v>
      </c>
      <c r="C5517" s="1" t="n">
        <v>45210</v>
      </c>
      <c r="D5517" t="inlineStr">
        <is>
          <t>DALARNAS LÄN</t>
        </is>
      </c>
      <c r="E5517" t="inlineStr">
        <is>
          <t>ORSA</t>
        </is>
      </c>
      <c r="F5517" t="inlineStr">
        <is>
          <t>Bergvik skog öst AB</t>
        </is>
      </c>
      <c r="G5517" t="n">
        <v>3.8</v>
      </c>
      <c r="H5517" t="n">
        <v>0</v>
      </c>
      <c r="I5517" t="n">
        <v>0</v>
      </c>
      <c r="J5517" t="n">
        <v>0</v>
      </c>
      <c r="K5517" t="n">
        <v>0</v>
      </c>
      <c r="L5517" t="n">
        <v>0</v>
      </c>
      <c r="M5517" t="n">
        <v>0</v>
      </c>
      <c r="N5517" t="n">
        <v>0</v>
      </c>
      <c r="O5517" t="n">
        <v>0</v>
      </c>
      <c r="P5517" t="n">
        <v>0</v>
      </c>
      <c r="Q5517" t="n">
        <v>0</v>
      </c>
      <c r="R5517" s="2" t="inlineStr"/>
    </row>
    <row r="5518" ht="15" customHeight="1">
      <c r="A5518" t="inlineStr">
        <is>
          <t>A 21330-2023</t>
        </is>
      </c>
      <c r="B5518" s="1" t="n">
        <v>45062</v>
      </c>
      <c r="C5518" s="1" t="n">
        <v>45210</v>
      </c>
      <c r="D5518" t="inlineStr">
        <is>
          <t>DALARNAS LÄN</t>
        </is>
      </c>
      <c r="E5518" t="inlineStr">
        <is>
          <t>FALUN</t>
        </is>
      </c>
      <c r="G5518" t="n">
        <v>4.2</v>
      </c>
      <c r="H5518" t="n">
        <v>0</v>
      </c>
      <c r="I5518" t="n">
        <v>0</v>
      </c>
      <c r="J5518" t="n">
        <v>0</v>
      </c>
      <c r="K5518" t="n">
        <v>0</v>
      </c>
      <c r="L5518" t="n">
        <v>0</v>
      </c>
      <c r="M5518" t="n">
        <v>0</v>
      </c>
      <c r="N5518" t="n">
        <v>0</v>
      </c>
      <c r="O5518" t="n">
        <v>0</v>
      </c>
      <c r="P5518" t="n">
        <v>0</v>
      </c>
      <c r="Q5518" t="n">
        <v>0</v>
      </c>
      <c r="R5518" s="2" t="inlineStr"/>
    </row>
    <row r="5519" ht="15" customHeight="1">
      <c r="A5519" t="inlineStr">
        <is>
          <t>A 21166-2023</t>
        </is>
      </c>
      <c r="B5519" s="1" t="n">
        <v>45062</v>
      </c>
      <c r="C5519" s="1" t="n">
        <v>45210</v>
      </c>
      <c r="D5519" t="inlineStr">
        <is>
          <t>DALARNAS LÄN</t>
        </is>
      </c>
      <c r="E5519" t="inlineStr">
        <is>
          <t>SMEDJEBACKEN</t>
        </is>
      </c>
      <c r="G5519" t="n">
        <v>3.1</v>
      </c>
      <c r="H5519" t="n">
        <v>0</v>
      </c>
      <c r="I5519" t="n">
        <v>0</v>
      </c>
      <c r="J5519" t="n">
        <v>0</v>
      </c>
      <c r="K5519" t="n">
        <v>0</v>
      </c>
      <c r="L5519" t="n">
        <v>0</v>
      </c>
      <c r="M5519" t="n">
        <v>0</v>
      </c>
      <c r="N5519" t="n">
        <v>0</v>
      </c>
      <c r="O5519" t="n">
        <v>0</v>
      </c>
      <c r="P5519" t="n">
        <v>0</v>
      </c>
      <c r="Q5519" t="n">
        <v>0</v>
      </c>
      <c r="R5519" s="2" t="inlineStr"/>
    </row>
    <row r="5520" ht="15" customHeight="1">
      <c r="A5520" t="inlineStr">
        <is>
          <t>A 21218-2023</t>
        </is>
      </c>
      <c r="B5520" s="1" t="n">
        <v>45062</v>
      </c>
      <c r="C5520" s="1" t="n">
        <v>45210</v>
      </c>
      <c r="D5520" t="inlineStr">
        <is>
          <t>DALARNAS LÄN</t>
        </is>
      </c>
      <c r="E5520" t="inlineStr">
        <is>
          <t>ORSA</t>
        </is>
      </c>
      <c r="F5520" t="inlineStr">
        <is>
          <t>Bergvik skog öst AB</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21247-2023</t>
        </is>
      </c>
      <c r="B5521" s="1" t="n">
        <v>45062</v>
      </c>
      <c r="C5521" s="1" t="n">
        <v>45210</v>
      </c>
      <c r="D5521" t="inlineStr">
        <is>
          <t>DALARNAS LÄN</t>
        </is>
      </c>
      <c r="E5521" t="inlineStr">
        <is>
          <t>LUDVIKA</t>
        </is>
      </c>
      <c r="F5521" t="inlineStr">
        <is>
          <t>Bergvik skog väst AB</t>
        </is>
      </c>
      <c r="G5521" t="n">
        <v>2.4</v>
      </c>
      <c r="H5521" t="n">
        <v>0</v>
      </c>
      <c r="I5521" t="n">
        <v>0</v>
      </c>
      <c r="J5521" t="n">
        <v>0</v>
      </c>
      <c r="K5521" t="n">
        <v>0</v>
      </c>
      <c r="L5521" t="n">
        <v>0</v>
      </c>
      <c r="M5521" t="n">
        <v>0</v>
      </c>
      <c r="N5521" t="n">
        <v>0</v>
      </c>
      <c r="O5521" t="n">
        <v>0</v>
      </c>
      <c r="P5521" t="n">
        <v>0</v>
      </c>
      <c r="Q5521" t="n">
        <v>0</v>
      </c>
      <c r="R5521" s="2" t="inlineStr"/>
    </row>
    <row r="5522" ht="15" customHeight="1">
      <c r="A5522" t="inlineStr">
        <is>
          <t>A 21134-2023</t>
        </is>
      </c>
      <c r="B5522" s="1" t="n">
        <v>45062</v>
      </c>
      <c r="C5522" s="1" t="n">
        <v>45210</v>
      </c>
      <c r="D5522" t="inlineStr">
        <is>
          <t>DALARNAS LÄN</t>
        </is>
      </c>
      <c r="E5522" t="inlineStr">
        <is>
          <t>BORLÄNGE</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21217-2023</t>
        </is>
      </c>
      <c r="B5523" s="1" t="n">
        <v>45062</v>
      </c>
      <c r="C5523" s="1" t="n">
        <v>45210</v>
      </c>
      <c r="D5523" t="inlineStr">
        <is>
          <t>DALARNAS LÄN</t>
        </is>
      </c>
      <c r="E5523" t="inlineStr">
        <is>
          <t>FALUN</t>
        </is>
      </c>
      <c r="G5523" t="n">
        <v>3.2</v>
      </c>
      <c r="H5523" t="n">
        <v>0</v>
      </c>
      <c r="I5523" t="n">
        <v>0</v>
      </c>
      <c r="J5523" t="n">
        <v>0</v>
      </c>
      <c r="K5523" t="n">
        <v>0</v>
      </c>
      <c r="L5523" t="n">
        <v>0</v>
      </c>
      <c r="M5523" t="n">
        <v>0</v>
      </c>
      <c r="N5523" t="n">
        <v>0</v>
      </c>
      <c r="O5523" t="n">
        <v>0</v>
      </c>
      <c r="P5523" t="n">
        <v>0</v>
      </c>
      <c r="Q5523" t="n">
        <v>0</v>
      </c>
      <c r="R5523" s="2" t="inlineStr"/>
    </row>
    <row r="5524" ht="15" customHeight="1">
      <c r="A5524" t="inlineStr">
        <is>
          <t>A 21460-2023</t>
        </is>
      </c>
      <c r="B5524" s="1" t="n">
        <v>45063</v>
      </c>
      <c r="C5524" s="1" t="n">
        <v>45210</v>
      </c>
      <c r="D5524" t="inlineStr">
        <is>
          <t>DALARNAS LÄN</t>
        </is>
      </c>
      <c r="E5524" t="inlineStr">
        <is>
          <t>MALUNG-SÄLEN</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21560-2023</t>
        </is>
      </c>
      <c r="B5525" s="1" t="n">
        <v>45063</v>
      </c>
      <c r="C5525" s="1" t="n">
        <v>45210</v>
      </c>
      <c r="D5525" t="inlineStr">
        <is>
          <t>DALARNAS LÄN</t>
        </is>
      </c>
      <c r="E5525" t="inlineStr">
        <is>
          <t>ORSA</t>
        </is>
      </c>
      <c r="F5525" t="inlineStr">
        <is>
          <t>Bergvik skog öst AB</t>
        </is>
      </c>
      <c r="G5525" t="n">
        <v>19.1</v>
      </c>
      <c r="H5525" t="n">
        <v>0</v>
      </c>
      <c r="I5525" t="n">
        <v>0</v>
      </c>
      <c r="J5525" t="n">
        <v>0</v>
      </c>
      <c r="K5525" t="n">
        <v>0</v>
      </c>
      <c r="L5525" t="n">
        <v>0</v>
      </c>
      <c r="M5525" t="n">
        <v>0</v>
      </c>
      <c r="N5525" t="n">
        <v>0</v>
      </c>
      <c r="O5525" t="n">
        <v>0</v>
      </c>
      <c r="P5525" t="n">
        <v>0</v>
      </c>
      <c r="Q5525" t="n">
        <v>0</v>
      </c>
      <c r="R5525" s="2" t="inlineStr"/>
    </row>
    <row r="5526" ht="15" customHeight="1">
      <c r="A5526" t="inlineStr">
        <is>
          <t>A 21671-2023</t>
        </is>
      </c>
      <c r="B5526" s="1" t="n">
        <v>45063</v>
      </c>
      <c r="C5526" s="1" t="n">
        <v>45210</v>
      </c>
      <c r="D5526" t="inlineStr">
        <is>
          <t>DALARNAS LÄN</t>
        </is>
      </c>
      <c r="E5526" t="inlineStr">
        <is>
          <t>SÄTER</t>
        </is>
      </c>
      <c r="F5526" t="inlineStr">
        <is>
          <t>Kommuner</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21697-2023</t>
        </is>
      </c>
      <c r="B5527" s="1" t="n">
        <v>45063</v>
      </c>
      <c r="C5527" s="1" t="n">
        <v>45210</v>
      </c>
      <c r="D5527" t="inlineStr">
        <is>
          <t>DALARNAS LÄN</t>
        </is>
      </c>
      <c r="E5527" t="inlineStr">
        <is>
          <t>SÄTER</t>
        </is>
      </c>
      <c r="F5527" t="inlineStr">
        <is>
          <t>Kommuner</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21421-2023</t>
        </is>
      </c>
      <c r="B5528" s="1" t="n">
        <v>45063</v>
      </c>
      <c r="C5528" s="1" t="n">
        <v>45210</v>
      </c>
      <c r="D5528" t="inlineStr">
        <is>
          <t>DALARNAS LÄN</t>
        </is>
      </c>
      <c r="E5528" t="inlineStr">
        <is>
          <t>SMEDJEBACKEN</t>
        </is>
      </c>
      <c r="F5528" t="inlineStr">
        <is>
          <t>Bergvik skog väst AB</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21427-2023</t>
        </is>
      </c>
      <c r="B5529" s="1" t="n">
        <v>45063</v>
      </c>
      <c r="C5529" s="1" t="n">
        <v>45210</v>
      </c>
      <c r="D5529" t="inlineStr">
        <is>
          <t>DALARNAS LÄN</t>
        </is>
      </c>
      <c r="E5529" t="inlineStr">
        <is>
          <t>SMEDJEBACKEN</t>
        </is>
      </c>
      <c r="F5529" t="inlineStr">
        <is>
          <t>Bergvik skog väst AB</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21548-2023</t>
        </is>
      </c>
      <c r="B5530" s="1" t="n">
        <v>45063</v>
      </c>
      <c r="C5530" s="1" t="n">
        <v>45210</v>
      </c>
      <c r="D5530" t="inlineStr">
        <is>
          <t>DALARNAS LÄN</t>
        </is>
      </c>
      <c r="E5530" t="inlineStr">
        <is>
          <t>LUDVIKA</t>
        </is>
      </c>
      <c r="F5530" t="inlineStr">
        <is>
          <t>Bergvik skog väst AB</t>
        </is>
      </c>
      <c r="G5530" t="n">
        <v>6</v>
      </c>
      <c r="H5530" t="n">
        <v>0</v>
      </c>
      <c r="I5530" t="n">
        <v>0</v>
      </c>
      <c r="J5530" t="n">
        <v>0</v>
      </c>
      <c r="K5530" t="n">
        <v>0</v>
      </c>
      <c r="L5530" t="n">
        <v>0</v>
      </c>
      <c r="M5530" t="n">
        <v>0</v>
      </c>
      <c r="N5530" t="n">
        <v>0</v>
      </c>
      <c r="O5530" t="n">
        <v>0</v>
      </c>
      <c r="P5530" t="n">
        <v>0</v>
      </c>
      <c r="Q5530" t="n">
        <v>0</v>
      </c>
      <c r="R5530" s="2" t="inlineStr"/>
    </row>
    <row r="5531" ht="15" customHeight="1">
      <c r="A5531" t="inlineStr">
        <is>
          <t>A 21554-2023</t>
        </is>
      </c>
      <c r="B5531" s="1" t="n">
        <v>45063</v>
      </c>
      <c r="C5531" s="1" t="n">
        <v>45210</v>
      </c>
      <c r="D5531" t="inlineStr">
        <is>
          <t>DALARNAS LÄN</t>
        </is>
      </c>
      <c r="E5531" t="inlineStr">
        <is>
          <t>LUDVIKA</t>
        </is>
      </c>
      <c r="F5531" t="inlineStr">
        <is>
          <t>Bergvik skog väst AB</t>
        </is>
      </c>
      <c r="G5531" t="n">
        <v>2.3</v>
      </c>
      <c r="H5531" t="n">
        <v>0</v>
      </c>
      <c r="I5531" t="n">
        <v>0</v>
      </c>
      <c r="J5531" t="n">
        <v>0</v>
      </c>
      <c r="K5531" t="n">
        <v>0</v>
      </c>
      <c r="L5531" t="n">
        <v>0</v>
      </c>
      <c r="M5531" t="n">
        <v>0</v>
      </c>
      <c r="N5531" t="n">
        <v>0</v>
      </c>
      <c r="O5531" t="n">
        <v>0</v>
      </c>
      <c r="P5531" t="n">
        <v>0</v>
      </c>
      <c r="Q5531" t="n">
        <v>0</v>
      </c>
      <c r="R5531" s="2" t="inlineStr"/>
    </row>
    <row r="5532" ht="15" customHeight="1">
      <c r="A5532" t="inlineStr">
        <is>
          <t>A 21370-2023</t>
        </is>
      </c>
      <c r="B5532" s="1" t="n">
        <v>45063</v>
      </c>
      <c r="C5532" s="1" t="n">
        <v>45210</v>
      </c>
      <c r="D5532" t="inlineStr">
        <is>
          <t>DALARNAS LÄN</t>
        </is>
      </c>
      <c r="E5532" t="inlineStr">
        <is>
          <t>LUDVIKA</t>
        </is>
      </c>
      <c r="F5532" t="inlineStr">
        <is>
          <t>Bergvik skog väst AB</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21410-2023</t>
        </is>
      </c>
      <c r="B5533" s="1" t="n">
        <v>45063</v>
      </c>
      <c r="C5533" s="1" t="n">
        <v>45210</v>
      </c>
      <c r="D5533" t="inlineStr">
        <is>
          <t>DALARNAS LÄN</t>
        </is>
      </c>
      <c r="E5533" t="inlineStr">
        <is>
          <t>MORA</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21418-2023</t>
        </is>
      </c>
      <c r="B5534" s="1" t="n">
        <v>45063</v>
      </c>
      <c r="C5534" s="1" t="n">
        <v>45210</v>
      </c>
      <c r="D5534" t="inlineStr">
        <is>
          <t>DALARNAS LÄN</t>
        </is>
      </c>
      <c r="E5534" t="inlineStr">
        <is>
          <t>VANSBRO</t>
        </is>
      </c>
      <c r="F5534" t="inlineStr">
        <is>
          <t>Bergvik skog öst AB</t>
        </is>
      </c>
      <c r="G5534" t="n">
        <v>2.6</v>
      </c>
      <c r="H5534" t="n">
        <v>0</v>
      </c>
      <c r="I5534" t="n">
        <v>0</v>
      </c>
      <c r="J5534" t="n">
        <v>0</v>
      </c>
      <c r="K5534" t="n">
        <v>0</v>
      </c>
      <c r="L5534" t="n">
        <v>0</v>
      </c>
      <c r="M5534" t="n">
        <v>0</v>
      </c>
      <c r="N5534" t="n">
        <v>0</v>
      </c>
      <c r="O5534" t="n">
        <v>0</v>
      </c>
      <c r="P5534" t="n">
        <v>0</v>
      </c>
      <c r="Q5534" t="n">
        <v>0</v>
      </c>
      <c r="R5534" s="2" t="inlineStr"/>
    </row>
    <row r="5535" ht="15" customHeight="1">
      <c r="A5535" t="inlineStr">
        <is>
          <t>A 21423-2023</t>
        </is>
      </c>
      <c r="B5535" s="1" t="n">
        <v>45063</v>
      </c>
      <c r="C5535" s="1" t="n">
        <v>45210</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21443-2023</t>
        </is>
      </c>
      <c r="B5536" s="1" t="n">
        <v>45063</v>
      </c>
      <c r="C5536" s="1" t="n">
        <v>45210</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21551-2023</t>
        </is>
      </c>
      <c r="B5537" s="1" t="n">
        <v>45063</v>
      </c>
      <c r="C5537" s="1" t="n">
        <v>45210</v>
      </c>
      <c r="D5537" t="inlineStr">
        <is>
          <t>DALARNAS LÄN</t>
        </is>
      </c>
      <c r="E5537" t="inlineStr">
        <is>
          <t>LUDVIKA</t>
        </is>
      </c>
      <c r="G5537" t="n">
        <v>8.4</v>
      </c>
      <c r="H5537" t="n">
        <v>0</v>
      </c>
      <c r="I5537" t="n">
        <v>0</v>
      </c>
      <c r="J5537" t="n">
        <v>0</v>
      </c>
      <c r="K5537" t="n">
        <v>0</v>
      </c>
      <c r="L5537" t="n">
        <v>0</v>
      </c>
      <c r="M5537" t="n">
        <v>0</v>
      </c>
      <c r="N5537" t="n">
        <v>0</v>
      </c>
      <c r="O5537" t="n">
        <v>0</v>
      </c>
      <c r="P5537" t="n">
        <v>0</v>
      </c>
      <c r="Q5537" t="n">
        <v>0</v>
      </c>
      <c r="R5537" s="2" t="inlineStr"/>
    </row>
    <row r="5538" ht="15" customHeight="1">
      <c r="A5538" t="inlineStr">
        <is>
          <t>A 21696-2023</t>
        </is>
      </c>
      <c r="B5538" s="1" t="n">
        <v>45063</v>
      </c>
      <c r="C5538" s="1" t="n">
        <v>45210</v>
      </c>
      <c r="D5538" t="inlineStr">
        <is>
          <t>DALARNAS LÄN</t>
        </is>
      </c>
      <c r="E5538" t="inlineStr">
        <is>
          <t>SÄTER</t>
        </is>
      </c>
      <c r="F5538" t="inlineStr">
        <is>
          <t>Kommuner</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21369-2023</t>
        </is>
      </c>
      <c r="B5539" s="1" t="n">
        <v>45063</v>
      </c>
      <c r="C5539" s="1" t="n">
        <v>45210</v>
      </c>
      <c r="D5539" t="inlineStr">
        <is>
          <t>DALARNAS LÄN</t>
        </is>
      </c>
      <c r="E5539" t="inlineStr">
        <is>
          <t>LUDVIKA</t>
        </is>
      </c>
      <c r="F5539" t="inlineStr">
        <is>
          <t>Bergvik skog väst AB</t>
        </is>
      </c>
      <c r="G5539" t="n">
        <v>0.4</v>
      </c>
      <c r="H5539" t="n">
        <v>0</v>
      </c>
      <c r="I5539" t="n">
        <v>0</v>
      </c>
      <c r="J5539" t="n">
        <v>0</v>
      </c>
      <c r="K5539" t="n">
        <v>0</v>
      </c>
      <c r="L5539" t="n">
        <v>0</v>
      </c>
      <c r="M5539" t="n">
        <v>0</v>
      </c>
      <c r="N5539" t="n">
        <v>0</v>
      </c>
      <c r="O5539" t="n">
        <v>0</v>
      </c>
      <c r="P5539" t="n">
        <v>0</v>
      </c>
      <c r="Q5539" t="n">
        <v>0</v>
      </c>
      <c r="R5539" s="2" t="inlineStr"/>
    </row>
    <row r="5540" ht="15" customHeight="1">
      <c r="A5540" t="inlineStr">
        <is>
          <t>A 21703-2023</t>
        </is>
      </c>
      <c r="B5540" s="1" t="n">
        <v>45064</v>
      </c>
      <c r="C5540" s="1" t="n">
        <v>45210</v>
      </c>
      <c r="D5540" t="inlineStr">
        <is>
          <t>DALARNAS LÄN</t>
        </is>
      </c>
      <c r="E5540" t="inlineStr">
        <is>
          <t>SMEDJEBACKEN</t>
        </is>
      </c>
      <c r="F5540" t="inlineStr">
        <is>
          <t>Övriga Aktiebolag</t>
        </is>
      </c>
      <c r="G5540" t="n">
        <v>4.1</v>
      </c>
      <c r="H5540" t="n">
        <v>0</v>
      </c>
      <c r="I5540" t="n">
        <v>0</v>
      </c>
      <c r="J5540" t="n">
        <v>0</v>
      </c>
      <c r="K5540" t="n">
        <v>0</v>
      </c>
      <c r="L5540" t="n">
        <v>0</v>
      </c>
      <c r="M5540" t="n">
        <v>0</v>
      </c>
      <c r="N5540" t="n">
        <v>0</v>
      </c>
      <c r="O5540" t="n">
        <v>0</v>
      </c>
      <c r="P5540" t="n">
        <v>0</v>
      </c>
      <c r="Q5540" t="n">
        <v>0</v>
      </c>
      <c r="R5540" s="2" t="inlineStr"/>
    </row>
    <row r="5541" ht="15" customHeight="1">
      <c r="A5541" t="inlineStr">
        <is>
          <t>A 21707-2023</t>
        </is>
      </c>
      <c r="B5541" s="1" t="n">
        <v>45064</v>
      </c>
      <c r="C5541" s="1" t="n">
        <v>45210</v>
      </c>
      <c r="D5541" t="inlineStr">
        <is>
          <t>DALARNAS LÄN</t>
        </is>
      </c>
      <c r="E5541" t="inlineStr">
        <is>
          <t>SMEDJEBACKEN</t>
        </is>
      </c>
      <c r="F5541" t="inlineStr">
        <is>
          <t>Övriga Aktiebolag</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21705-2023</t>
        </is>
      </c>
      <c r="B5542" s="1" t="n">
        <v>45064</v>
      </c>
      <c r="C5542" s="1" t="n">
        <v>45210</v>
      </c>
      <c r="D5542" t="inlineStr">
        <is>
          <t>DALARNAS LÄN</t>
        </is>
      </c>
      <c r="E5542" t="inlineStr">
        <is>
          <t>SMEDJEBACKEN</t>
        </is>
      </c>
      <c r="F5542" t="inlineStr">
        <is>
          <t>Övriga Aktiebolag</t>
        </is>
      </c>
      <c r="G5542" t="n">
        <v>11.3</v>
      </c>
      <c r="H5542" t="n">
        <v>0</v>
      </c>
      <c r="I5542" t="n">
        <v>0</v>
      </c>
      <c r="J5542" t="n">
        <v>0</v>
      </c>
      <c r="K5542" t="n">
        <v>0</v>
      </c>
      <c r="L5542" t="n">
        <v>0</v>
      </c>
      <c r="M5542" t="n">
        <v>0</v>
      </c>
      <c r="N5542" t="n">
        <v>0</v>
      </c>
      <c r="O5542" t="n">
        <v>0</v>
      </c>
      <c r="P5542" t="n">
        <v>0</v>
      </c>
      <c r="Q5542" t="n">
        <v>0</v>
      </c>
      <c r="R5542" s="2" t="inlineStr"/>
    </row>
    <row r="5543" ht="15" customHeight="1">
      <c r="A5543" t="inlineStr">
        <is>
          <t>A 21834-2023</t>
        </is>
      </c>
      <c r="B5543" s="1" t="n">
        <v>45068</v>
      </c>
      <c r="C5543" s="1" t="n">
        <v>45210</v>
      </c>
      <c r="D5543" t="inlineStr">
        <is>
          <t>DALARNAS LÄN</t>
        </is>
      </c>
      <c r="E5543" t="inlineStr">
        <is>
          <t>MORA</t>
        </is>
      </c>
      <c r="G5543" t="n">
        <v>3.2</v>
      </c>
      <c r="H5543" t="n">
        <v>0</v>
      </c>
      <c r="I5543" t="n">
        <v>0</v>
      </c>
      <c r="J5543" t="n">
        <v>0</v>
      </c>
      <c r="K5543" t="n">
        <v>0</v>
      </c>
      <c r="L5543" t="n">
        <v>0</v>
      </c>
      <c r="M5543" t="n">
        <v>0</v>
      </c>
      <c r="N5543" t="n">
        <v>0</v>
      </c>
      <c r="O5543" t="n">
        <v>0</v>
      </c>
      <c r="P5543" t="n">
        <v>0</v>
      </c>
      <c r="Q5543" t="n">
        <v>0</v>
      </c>
      <c r="R5543" s="2" t="inlineStr"/>
    </row>
    <row r="5544" ht="15" customHeight="1">
      <c r="A5544" t="inlineStr">
        <is>
          <t>A 21841-2023</t>
        </is>
      </c>
      <c r="B5544" s="1" t="n">
        <v>45068</v>
      </c>
      <c r="C5544" s="1" t="n">
        <v>45210</v>
      </c>
      <c r="D5544" t="inlineStr">
        <is>
          <t>DALARNAS LÄN</t>
        </is>
      </c>
      <c r="E5544" t="inlineStr">
        <is>
          <t>LUDVIKA</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21870-2023</t>
        </is>
      </c>
      <c r="B5545" s="1" t="n">
        <v>45068</v>
      </c>
      <c r="C5545" s="1" t="n">
        <v>45210</v>
      </c>
      <c r="D5545" t="inlineStr">
        <is>
          <t>DALARNAS LÄN</t>
        </is>
      </c>
      <c r="E5545" t="inlineStr">
        <is>
          <t>LUDVIKA</t>
        </is>
      </c>
      <c r="F5545" t="inlineStr">
        <is>
          <t>Bergvik skog väst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21910-2023</t>
        </is>
      </c>
      <c r="B5546" s="1" t="n">
        <v>45068</v>
      </c>
      <c r="C5546" s="1" t="n">
        <v>45210</v>
      </c>
      <c r="D5546" t="inlineStr">
        <is>
          <t>DALARNAS LÄN</t>
        </is>
      </c>
      <c r="E5546" t="inlineStr">
        <is>
          <t>LEKSAND</t>
        </is>
      </c>
      <c r="F5546" t="inlineStr">
        <is>
          <t>Bergvik skog väst AB</t>
        </is>
      </c>
      <c r="G5546" t="n">
        <v>9.4</v>
      </c>
      <c r="H5546" t="n">
        <v>0</v>
      </c>
      <c r="I5546" t="n">
        <v>0</v>
      </c>
      <c r="J5546" t="n">
        <v>0</v>
      </c>
      <c r="K5546" t="n">
        <v>0</v>
      </c>
      <c r="L5546" t="n">
        <v>0</v>
      </c>
      <c r="M5546" t="n">
        <v>0</v>
      </c>
      <c r="N5546" t="n">
        <v>0</v>
      </c>
      <c r="O5546" t="n">
        <v>0</v>
      </c>
      <c r="P5546" t="n">
        <v>0</v>
      </c>
      <c r="Q5546" t="n">
        <v>0</v>
      </c>
      <c r="R5546" s="2" t="inlineStr"/>
    </row>
    <row r="5547" ht="15" customHeight="1">
      <c r="A5547" t="inlineStr">
        <is>
          <t>A 21923-2023</t>
        </is>
      </c>
      <c r="B5547" s="1" t="n">
        <v>45068</v>
      </c>
      <c r="C5547" s="1" t="n">
        <v>45210</v>
      </c>
      <c r="D5547" t="inlineStr">
        <is>
          <t>DALARNAS LÄN</t>
        </is>
      </c>
      <c r="E5547" t="inlineStr">
        <is>
          <t>FALUN</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21928-2023</t>
        </is>
      </c>
      <c r="B5548" s="1" t="n">
        <v>45068</v>
      </c>
      <c r="C5548" s="1" t="n">
        <v>45210</v>
      </c>
      <c r="D5548" t="inlineStr">
        <is>
          <t>DALARNAS LÄN</t>
        </is>
      </c>
      <c r="E5548" t="inlineStr">
        <is>
          <t>BORLÄNGE</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21843-2023</t>
        </is>
      </c>
      <c r="B5549" s="1" t="n">
        <v>45068</v>
      </c>
      <c r="C5549" s="1" t="n">
        <v>45210</v>
      </c>
      <c r="D5549" t="inlineStr">
        <is>
          <t>DALARNAS LÄN</t>
        </is>
      </c>
      <c r="E5549" t="inlineStr">
        <is>
          <t>LUDVIKA</t>
        </is>
      </c>
      <c r="G5549" t="n">
        <v>4.3</v>
      </c>
      <c r="H5549" t="n">
        <v>0</v>
      </c>
      <c r="I5549" t="n">
        <v>0</v>
      </c>
      <c r="J5549" t="n">
        <v>0</v>
      </c>
      <c r="K5549" t="n">
        <v>0</v>
      </c>
      <c r="L5549" t="n">
        <v>0</v>
      </c>
      <c r="M5549" t="n">
        <v>0</v>
      </c>
      <c r="N5549" t="n">
        <v>0</v>
      </c>
      <c r="O5549" t="n">
        <v>0</v>
      </c>
      <c r="P5549" t="n">
        <v>0</v>
      </c>
      <c r="Q5549" t="n">
        <v>0</v>
      </c>
      <c r="R5549" s="2" t="inlineStr"/>
    </row>
    <row r="5550" ht="15" customHeight="1">
      <c r="A5550" t="inlineStr">
        <is>
          <t>A 21872-2023</t>
        </is>
      </c>
      <c r="B5550" s="1" t="n">
        <v>45068</v>
      </c>
      <c r="C5550" s="1" t="n">
        <v>45210</v>
      </c>
      <c r="D5550" t="inlineStr">
        <is>
          <t>DALARNAS LÄN</t>
        </is>
      </c>
      <c r="E5550" t="inlineStr">
        <is>
          <t>FALUN</t>
        </is>
      </c>
      <c r="F5550" t="inlineStr">
        <is>
          <t>Bergvik skog väst AB</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21954-2023</t>
        </is>
      </c>
      <c r="B5551" s="1" t="n">
        <v>45068</v>
      </c>
      <c r="C5551" s="1" t="n">
        <v>45210</v>
      </c>
      <c r="D5551" t="inlineStr">
        <is>
          <t>DALARNAS LÄN</t>
        </is>
      </c>
      <c r="E5551" t="inlineStr">
        <is>
          <t>LEKSAND</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22107-2023</t>
        </is>
      </c>
      <c r="B5552" s="1" t="n">
        <v>45068</v>
      </c>
      <c r="C5552" s="1" t="n">
        <v>45210</v>
      </c>
      <c r="D5552" t="inlineStr">
        <is>
          <t>DALARNAS LÄN</t>
        </is>
      </c>
      <c r="E5552" t="inlineStr">
        <is>
          <t>MALUNG-SÄLEN</t>
        </is>
      </c>
      <c r="G5552" t="n">
        <v>8</v>
      </c>
      <c r="H5552" t="n">
        <v>0</v>
      </c>
      <c r="I5552" t="n">
        <v>0</v>
      </c>
      <c r="J5552" t="n">
        <v>0</v>
      </c>
      <c r="K5552" t="n">
        <v>0</v>
      </c>
      <c r="L5552" t="n">
        <v>0</v>
      </c>
      <c r="M5552" t="n">
        <v>0</v>
      </c>
      <c r="N5552" t="n">
        <v>0</v>
      </c>
      <c r="O5552" t="n">
        <v>0</v>
      </c>
      <c r="P5552" t="n">
        <v>0</v>
      </c>
      <c r="Q5552" t="n">
        <v>0</v>
      </c>
      <c r="R5552" s="2" t="inlineStr"/>
    </row>
    <row r="5553" ht="15" customHeight="1">
      <c r="A5553" t="inlineStr">
        <is>
          <t>A 21813-2023</t>
        </is>
      </c>
      <c r="B5553" s="1" t="n">
        <v>45068</v>
      </c>
      <c r="C5553" s="1" t="n">
        <v>45210</v>
      </c>
      <c r="D5553" t="inlineStr">
        <is>
          <t>DALARNAS LÄN</t>
        </is>
      </c>
      <c r="E5553" t="inlineStr">
        <is>
          <t>FALUN</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21842-2023</t>
        </is>
      </c>
      <c r="B5554" s="1" t="n">
        <v>45068</v>
      </c>
      <c r="C5554" s="1" t="n">
        <v>45210</v>
      </c>
      <c r="D5554" t="inlineStr">
        <is>
          <t>DALARNAS LÄN</t>
        </is>
      </c>
      <c r="E5554" t="inlineStr">
        <is>
          <t>LUDVIKA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21849-2023</t>
        </is>
      </c>
      <c r="B5555" s="1" t="n">
        <v>45068</v>
      </c>
      <c r="C5555" s="1" t="n">
        <v>45210</v>
      </c>
      <c r="D5555" t="inlineStr">
        <is>
          <t>DALARNAS LÄN</t>
        </is>
      </c>
      <c r="E5555" t="inlineStr">
        <is>
          <t>LEKSAND</t>
        </is>
      </c>
      <c r="F5555" t="inlineStr">
        <is>
          <t>Bergvik skog väst AB</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21896-2023</t>
        </is>
      </c>
      <c r="B5556" s="1" t="n">
        <v>45068</v>
      </c>
      <c r="C5556" s="1" t="n">
        <v>45210</v>
      </c>
      <c r="D5556" t="inlineStr">
        <is>
          <t>DALARNAS LÄN</t>
        </is>
      </c>
      <c r="E5556" t="inlineStr">
        <is>
          <t>MORA</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22131-2023</t>
        </is>
      </c>
      <c r="B5557" s="1" t="n">
        <v>45068</v>
      </c>
      <c r="C5557" s="1" t="n">
        <v>45210</v>
      </c>
      <c r="D5557" t="inlineStr">
        <is>
          <t>DALARNAS LÄN</t>
        </is>
      </c>
      <c r="E5557" t="inlineStr">
        <is>
          <t>MALUNG-SÄLEN</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21898-2023</t>
        </is>
      </c>
      <c r="B5558" s="1" t="n">
        <v>45068</v>
      </c>
      <c r="C5558" s="1" t="n">
        <v>45210</v>
      </c>
      <c r="D5558" t="inlineStr">
        <is>
          <t>DALARNAS LÄN</t>
        </is>
      </c>
      <c r="E5558" t="inlineStr">
        <is>
          <t>MORA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21933-2023</t>
        </is>
      </c>
      <c r="B5559" s="1" t="n">
        <v>45068</v>
      </c>
      <c r="C5559" s="1" t="n">
        <v>45210</v>
      </c>
      <c r="D5559" t="inlineStr">
        <is>
          <t>DALARNAS LÄN</t>
        </is>
      </c>
      <c r="E5559" t="inlineStr">
        <is>
          <t>LUDVIKA</t>
        </is>
      </c>
      <c r="F5559" t="inlineStr">
        <is>
          <t>Bergvik skog väst AB</t>
        </is>
      </c>
      <c r="G5559" t="n">
        <v>12.5</v>
      </c>
      <c r="H5559" t="n">
        <v>0</v>
      </c>
      <c r="I5559" t="n">
        <v>0</v>
      </c>
      <c r="J5559" t="n">
        <v>0</v>
      </c>
      <c r="K5559" t="n">
        <v>0</v>
      </c>
      <c r="L5559" t="n">
        <v>0</v>
      </c>
      <c r="M5559" t="n">
        <v>0</v>
      </c>
      <c r="N5559" t="n">
        <v>0</v>
      </c>
      <c r="O5559" t="n">
        <v>0</v>
      </c>
      <c r="P5559" t="n">
        <v>0</v>
      </c>
      <c r="Q5559" t="n">
        <v>0</v>
      </c>
      <c r="R5559" s="2" t="inlineStr"/>
    </row>
    <row r="5560" ht="15" customHeight="1">
      <c r="A5560" t="inlineStr">
        <is>
          <t>A 21948-2023</t>
        </is>
      </c>
      <c r="B5560" s="1" t="n">
        <v>45068</v>
      </c>
      <c r="C5560" s="1" t="n">
        <v>45210</v>
      </c>
      <c r="D5560" t="inlineStr">
        <is>
          <t>DALARNAS LÄN</t>
        </is>
      </c>
      <c r="E5560" t="inlineStr">
        <is>
          <t>SÄTER</t>
        </is>
      </c>
      <c r="G5560" t="n">
        <v>2.9</v>
      </c>
      <c r="H5560" t="n">
        <v>0</v>
      </c>
      <c r="I5560" t="n">
        <v>0</v>
      </c>
      <c r="J5560" t="n">
        <v>0</v>
      </c>
      <c r="K5560" t="n">
        <v>0</v>
      </c>
      <c r="L5560" t="n">
        <v>0</v>
      </c>
      <c r="M5560" t="n">
        <v>0</v>
      </c>
      <c r="N5560" t="n">
        <v>0</v>
      </c>
      <c r="O5560" t="n">
        <v>0</v>
      </c>
      <c r="P5560" t="n">
        <v>0</v>
      </c>
      <c r="Q5560" t="n">
        <v>0</v>
      </c>
      <c r="R5560" s="2" t="inlineStr"/>
    </row>
    <row r="5561" ht="15" customHeight="1">
      <c r="A5561" t="inlineStr">
        <is>
          <t>A 22196-2023</t>
        </is>
      </c>
      <c r="B5561" s="1" t="n">
        <v>45069</v>
      </c>
      <c r="C5561" s="1" t="n">
        <v>45210</v>
      </c>
      <c r="D5561" t="inlineStr">
        <is>
          <t>DALARNAS LÄN</t>
        </is>
      </c>
      <c r="E5561" t="inlineStr">
        <is>
          <t>LEKSAND</t>
        </is>
      </c>
      <c r="F5561" t="inlineStr">
        <is>
          <t>Bergvik skog väst AB</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22022-2023</t>
        </is>
      </c>
      <c r="B5562" s="1" t="n">
        <v>45069</v>
      </c>
      <c r="C5562" s="1" t="n">
        <v>45210</v>
      </c>
      <c r="D5562" t="inlineStr">
        <is>
          <t>DALARNAS LÄN</t>
        </is>
      </c>
      <c r="E5562" t="inlineStr">
        <is>
          <t>FALUN</t>
        </is>
      </c>
      <c r="G5562" t="n">
        <v>1.1</v>
      </c>
      <c r="H5562" t="n">
        <v>0</v>
      </c>
      <c r="I5562" t="n">
        <v>0</v>
      </c>
      <c r="J5562" t="n">
        <v>0</v>
      </c>
      <c r="K5562" t="n">
        <v>0</v>
      </c>
      <c r="L5562" t="n">
        <v>0</v>
      </c>
      <c r="M5562" t="n">
        <v>0</v>
      </c>
      <c r="N5562" t="n">
        <v>0</v>
      </c>
      <c r="O5562" t="n">
        <v>0</v>
      </c>
      <c r="P5562" t="n">
        <v>0</v>
      </c>
      <c r="Q5562" t="n">
        <v>0</v>
      </c>
      <c r="R5562" s="2" t="inlineStr"/>
    </row>
    <row r="5563" ht="15" customHeight="1">
      <c r="A5563" t="inlineStr">
        <is>
          <t>A 22209-2023</t>
        </is>
      </c>
      <c r="B5563" s="1" t="n">
        <v>45069</v>
      </c>
      <c r="C5563" s="1" t="n">
        <v>45210</v>
      </c>
      <c r="D5563" t="inlineStr">
        <is>
          <t>DALARNAS LÄN</t>
        </is>
      </c>
      <c r="E5563" t="inlineStr">
        <is>
          <t>VANSBRO</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22057-2023</t>
        </is>
      </c>
      <c r="B5564" s="1" t="n">
        <v>45069</v>
      </c>
      <c r="C5564" s="1" t="n">
        <v>45210</v>
      </c>
      <c r="D5564" t="inlineStr">
        <is>
          <t>DALARNAS LÄN</t>
        </is>
      </c>
      <c r="E5564" t="inlineStr">
        <is>
          <t>FALUN</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22197-2023</t>
        </is>
      </c>
      <c r="B5565" s="1" t="n">
        <v>45069</v>
      </c>
      <c r="C5565" s="1" t="n">
        <v>45210</v>
      </c>
      <c r="D5565" t="inlineStr">
        <is>
          <t>DALARNAS LÄN</t>
        </is>
      </c>
      <c r="E5565" t="inlineStr">
        <is>
          <t>LEKSAND</t>
        </is>
      </c>
      <c r="F5565" t="inlineStr">
        <is>
          <t>Bergvik skog väst AB</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22273-2023</t>
        </is>
      </c>
      <c r="B5566" s="1" t="n">
        <v>45070</v>
      </c>
      <c r="C5566" s="1" t="n">
        <v>45210</v>
      </c>
      <c r="D5566" t="inlineStr">
        <is>
          <t>DALARNAS LÄN</t>
        </is>
      </c>
      <c r="E5566" t="inlineStr">
        <is>
          <t>HEDEMORA</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22393-2023</t>
        </is>
      </c>
      <c r="B5567" s="1" t="n">
        <v>45070</v>
      </c>
      <c r="C5567" s="1" t="n">
        <v>45210</v>
      </c>
      <c r="D5567" t="inlineStr">
        <is>
          <t>DALARNAS LÄN</t>
        </is>
      </c>
      <c r="E5567" t="inlineStr">
        <is>
          <t>GAGNEF</t>
        </is>
      </c>
      <c r="G5567" t="n">
        <v>2.9</v>
      </c>
      <c r="H5567" t="n">
        <v>0</v>
      </c>
      <c r="I5567" t="n">
        <v>0</v>
      </c>
      <c r="J5567" t="n">
        <v>0</v>
      </c>
      <c r="K5567" t="n">
        <v>0</v>
      </c>
      <c r="L5567" t="n">
        <v>0</v>
      </c>
      <c r="M5567" t="n">
        <v>0</v>
      </c>
      <c r="N5567" t="n">
        <v>0</v>
      </c>
      <c r="O5567" t="n">
        <v>0</v>
      </c>
      <c r="P5567" t="n">
        <v>0</v>
      </c>
      <c r="Q5567" t="n">
        <v>0</v>
      </c>
      <c r="R5567" s="2" t="inlineStr"/>
    </row>
    <row r="5568" ht="15" customHeight="1">
      <c r="A5568" t="inlineStr">
        <is>
          <t>A 22449-2023</t>
        </is>
      </c>
      <c r="B5568" s="1" t="n">
        <v>45070</v>
      </c>
      <c r="C5568" s="1" t="n">
        <v>45210</v>
      </c>
      <c r="D5568" t="inlineStr">
        <is>
          <t>DALARNAS LÄN</t>
        </is>
      </c>
      <c r="E5568" t="inlineStr">
        <is>
          <t>MORA</t>
        </is>
      </c>
      <c r="F5568" t="inlineStr">
        <is>
          <t>Kommuner</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22315-2023</t>
        </is>
      </c>
      <c r="B5569" s="1" t="n">
        <v>45070</v>
      </c>
      <c r="C5569" s="1" t="n">
        <v>45210</v>
      </c>
      <c r="D5569" t="inlineStr">
        <is>
          <t>DALARNAS LÄN</t>
        </is>
      </c>
      <c r="E5569" t="inlineStr">
        <is>
          <t>RÄTTVIK</t>
        </is>
      </c>
      <c r="G5569" t="n">
        <v>0.9</v>
      </c>
      <c r="H5569" t="n">
        <v>0</v>
      </c>
      <c r="I5569" t="n">
        <v>0</v>
      </c>
      <c r="J5569" t="n">
        <v>0</v>
      </c>
      <c r="K5569" t="n">
        <v>0</v>
      </c>
      <c r="L5569" t="n">
        <v>0</v>
      </c>
      <c r="M5569" t="n">
        <v>0</v>
      </c>
      <c r="N5569" t="n">
        <v>0</v>
      </c>
      <c r="O5569" t="n">
        <v>0</v>
      </c>
      <c r="P5569" t="n">
        <v>0</v>
      </c>
      <c r="Q5569" t="n">
        <v>0</v>
      </c>
      <c r="R5569" s="2" t="inlineStr"/>
    </row>
    <row r="5570" ht="15" customHeight="1">
      <c r="A5570" t="inlineStr">
        <is>
          <t>A 22428-2023</t>
        </is>
      </c>
      <c r="B5570" s="1" t="n">
        <v>45070</v>
      </c>
      <c r="C5570" s="1" t="n">
        <v>45210</v>
      </c>
      <c r="D5570" t="inlineStr">
        <is>
          <t>DALARNAS LÄN</t>
        </is>
      </c>
      <c r="E5570" t="inlineStr">
        <is>
          <t>GAGNEF</t>
        </is>
      </c>
      <c r="G5570" t="n">
        <v>8.5</v>
      </c>
      <c r="H5570" t="n">
        <v>0</v>
      </c>
      <c r="I5570" t="n">
        <v>0</v>
      </c>
      <c r="J5570" t="n">
        <v>0</v>
      </c>
      <c r="K5570" t="n">
        <v>0</v>
      </c>
      <c r="L5570" t="n">
        <v>0</v>
      </c>
      <c r="M5570" t="n">
        <v>0</v>
      </c>
      <c r="N5570" t="n">
        <v>0</v>
      </c>
      <c r="O5570" t="n">
        <v>0</v>
      </c>
      <c r="P5570" t="n">
        <v>0</v>
      </c>
      <c r="Q5570" t="n">
        <v>0</v>
      </c>
      <c r="R5570" s="2" t="inlineStr"/>
    </row>
    <row r="5571" ht="15" customHeight="1">
      <c r="A5571" t="inlineStr">
        <is>
          <t>A 22235-2023</t>
        </is>
      </c>
      <c r="B5571" s="1" t="n">
        <v>45070</v>
      </c>
      <c r="C5571" s="1" t="n">
        <v>45210</v>
      </c>
      <c r="D5571" t="inlineStr">
        <is>
          <t>DALARNAS LÄN</t>
        </is>
      </c>
      <c r="E5571" t="inlineStr">
        <is>
          <t>SMEDJEBACKEN</t>
        </is>
      </c>
      <c r="F5571" t="inlineStr">
        <is>
          <t>Övriga Aktiebolag</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22876-2023</t>
        </is>
      </c>
      <c r="B5572" s="1" t="n">
        <v>45070</v>
      </c>
      <c r="C5572" s="1" t="n">
        <v>45210</v>
      </c>
      <c r="D5572" t="inlineStr">
        <is>
          <t>DALARNAS LÄN</t>
        </is>
      </c>
      <c r="E5572" t="inlineStr">
        <is>
          <t>AVESTA</t>
        </is>
      </c>
      <c r="F5572" t="inlineStr">
        <is>
          <t>Bergvik skog väst AB</t>
        </is>
      </c>
      <c r="G5572" t="n">
        <v>15.8</v>
      </c>
      <c r="H5572" t="n">
        <v>0</v>
      </c>
      <c r="I5572" t="n">
        <v>0</v>
      </c>
      <c r="J5572" t="n">
        <v>0</v>
      </c>
      <c r="K5572" t="n">
        <v>0</v>
      </c>
      <c r="L5572" t="n">
        <v>0</v>
      </c>
      <c r="M5572" t="n">
        <v>0</v>
      </c>
      <c r="N5572" t="n">
        <v>0</v>
      </c>
      <c r="O5572" t="n">
        <v>0</v>
      </c>
      <c r="P5572" t="n">
        <v>0</v>
      </c>
      <c r="Q5572" t="n">
        <v>0</v>
      </c>
      <c r="R5572" s="2" t="inlineStr"/>
    </row>
    <row r="5573" ht="15" customHeight="1">
      <c r="A5573" t="inlineStr">
        <is>
          <t>A 22684-2023</t>
        </is>
      </c>
      <c r="B5573" s="1" t="n">
        <v>45071</v>
      </c>
      <c r="C5573" s="1" t="n">
        <v>45210</v>
      </c>
      <c r="D5573" t="inlineStr">
        <is>
          <t>DALARNAS LÄN</t>
        </is>
      </c>
      <c r="E5573" t="inlineStr">
        <is>
          <t>LEKSAND</t>
        </is>
      </c>
      <c r="G5573" t="n">
        <v>8.800000000000001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23248-2023</t>
        </is>
      </c>
      <c r="B5574" s="1" t="n">
        <v>45071</v>
      </c>
      <c r="C5574" s="1" t="n">
        <v>45210</v>
      </c>
      <c r="D5574" t="inlineStr">
        <is>
          <t>DALARNAS LÄN</t>
        </is>
      </c>
      <c r="E5574" t="inlineStr">
        <is>
          <t>RÄTTVIK</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22508-2023</t>
        </is>
      </c>
      <c r="B5575" s="1" t="n">
        <v>45071</v>
      </c>
      <c r="C5575" s="1" t="n">
        <v>45210</v>
      </c>
      <c r="D5575" t="inlineStr">
        <is>
          <t>DALARNAS LÄN</t>
        </is>
      </c>
      <c r="E5575" t="inlineStr">
        <is>
          <t>RÄTTVIK</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22640-2023</t>
        </is>
      </c>
      <c r="B5576" s="1" t="n">
        <v>45071</v>
      </c>
      <c r="C5576" s="1" t="n">
        <v>45210</v>
      </c>
      <c r="D5576" t="inlineStr">
        <is>
          <t>DALARNAS LÄN</t>
        </is>
      </c>
      <c r="E5576" t="inlineStr">
        <is>
          <t>MALUNG-SÄLEN</t>
        </is>
      </c>
      <c r="F5576" t="inlineStr">
        <is>
          <t>Bergvik skog öst AB</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22726-2023</t>
        </is>
      </c>
      <c r="B5577" s="1" t="n">
        <v>45071</v>
      </c>
      <c r="C5577" s="1" t="n">
        <v>45210</v>
      </c>
      <c r="D5577" t="inlineStr">
        <is>
          <t>DALARNAS LÄN</t>
        </is>
      </c>
      <c r="E5577" t="inlineStr">
        <is>
          <t>HEDEMORA</t>
        </is>
      </c>
      <c r="G5577" t="n">
        <v>0.8</v>
      </c>
      <c r="H5577" t="n">
        <v>0</v>
      </c>
      <c r="I5577" t="n">
        <v>0</v>
      </c>
      <c r="J5577" t="n">
        <v>0</v>
      </c>
      <c r="K5577" t="n">
        <v>0</v>
      </c>
      <c r="L5577" t="n">
        <v>0</v>
      </c>
      <c r="M5577" t="n">
        <v>0</v>
      </c>
      <c r="N5577" t="n">
        <v>0</v>
      </c>
      <c r="O5577" t="n">
        <v>0</v>
      </c>
      <c r="P5577" t="n">
        <v>0</v>
      </c>
      <c r="Q5577" t="n">
        <v>0</v>
      </c>
      <c r="R5577" s="2" t="inlineStr"/>
    </row>
    <row r="5578" ht="15" customHeight="1">
      <c r="A5578" t="inlineStr">
        <is>
          <t>A 23245-2023</t>
        </is>
      </c>
      <c r="B5578" s="1" t="n">
        <v>45071</v>
      </c>
      <c r="C5578" s="1" t="n">
        <v>45210</v>
      </c>
      <c r="D5578" t="inlineStr">
        <is>
          <t>DALARNAS LÄN</t>
        </is>
      </c>
      <c r="E5578" t="inlineStr">
        <is>
          <t>RÄTTVIK</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22622-2023</t>
        </is>
      </c>
      <c r="B5579" s="1" t="n">
        <v>45071</v>
      </c>
      <c r="C5579" s="1" t="n">
        <v>45210</v>
      </c>
      <c r="D5579" t="inlineStr">
        <is>
          <t>DALARNAS LÄN</t>
        </is>
      </c>
      <c r="E5579" t="inlineStr">
        <is>
          <t>MALUNG-SÄLEN</t>
        </is>
      </c>
      <c r="F5579" t="inlineStr">
        <is>
          <t>Bergvik skog öst AB</t>
        </is>
      </c>
      <c r="G5579" t="n">
        <v>1.6</v>
      </c>
      <c r="H5579" t="n">
        <v>0</v>
      </c>
      <c r="I5579" t="n">
        <v>0</v>
      </c>
      <c r="J5579" t="n">
        <v>0</v>
      </c>
      <c r="K5579" t="n">
        <v>0</v>
      </c>
      <c r="L5579" t="n">
        <v>0</v>
      </c>
      <c r="M5579" t="n">
        <v>0</v>
      </c>
      <c r="N5579" t="n">
        <v>0</v>
      </c>
      <c r="O5579" t="n">
        <v>0</v>
      </c>
      <c r="P5579" t="n">
        <v>0</v>
      </c>
      <c r="Q5579" t="n">
        <v>0</v>
      </c>
      <c r="R5579" s="2" t="inlineStr"/>
    </row>
    <row r="5580" ht="15" customHeight="1">
      <c r="A5580" t="inlineStr">
        <is>
          <t>A 23253-2023</t>
        </is>
      </c>
      <c r="B5580" s="1" t="n">
        <v>45071</v>
      </c>
      <c r="C5580" s="1" t="n">
        <v>45210</v>
      </c>
      <c r="D5580" t="inlineStr">
        <is>
          <t>DALARNAS LÄN</t>
        </is>
      </c>
      <c r="E5580" t="inlineStr">
        <is>
          <t>RÄTTVIK</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22570-2023</t>
        </is>
      </c>
      <c r="B5581" s="1" t="n">
        <v>45071</v>
      </c>
      <c r="C5581" s="1" t="n">
        <v>45210</v>
      </c>
      <c r="D5581" t="inlineStr">
        <is>
          <t>DALARNAS LÄN</t>
        </is>
      </c>
      <c r="E5581" t="inlineStr">
        <is>
          <t>LEKSAND</t>
        </is>
      </c>
      <c r="G5581" t="n">
        <v>2</v>
      </c>
      <c r="H5581" t="n">
        <v>0</v>
      </c>
      <c r="I5581" t="n">
        <v>0</v>
      </c>
      <c r="J5581" t="n">
        <v>0</v>
      </c>
      <c r="K5581" t="n">
        <v>0</v>
      </c>
      <c r="L5581" t="n">
        <v>0</v>
      </c>
      <c r="M5581" t="n">
        <v>0</v>
      </c>
      <c r="N5581" t="n">
        <v>0</v>
      </c>
      <c r="O5581" t="n">
        <v>0</v>
      </c>
      <c r="P5581" t="n">
        <v>0</v>
      </c>
      <c r="Q5581" t="n">
        <v>0</v>
      </c>
      <c r="R5581" s="2" t="inlineStr"/>
    </row>
    <row r="5582" ht="15" customHeight="1">
      <c r="A5582" t="inlineStr">
        <is>
          <t>A 23247-2023</t>
        </is>
      </c>
      <c r="B5582" s="1" t="n">
        <v>45071</v>
      </c>
      <c r="C5582" s="1" t="n">
        <v>45210</v>
      </c>
      <c r="D5582" t="inlineStr">
        <is>
          <t>DALARNAS LÄN</t>
        </is>
      </c>
      <c r="E5582" t="inlineStr">
        <is>
          <t>RÄTTVIK</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23478-2023</t>
        </is>
      </c>
      <c r="B5583" s="1" t="n">
        <v>45072</v>
      </c>
      <c r="C5583" s="1" t="n">
        <v>45210</v>
      </c>
      <c r="D5583" t="inlineStr">
        <is>
          <t>DALARNAS LÄN</t>
        </is>
      </c>
      <c r="E5583" t="inlineStr">
        <is>
          <t>RÄTTVIK</t>
        </is>
      </c>
      <c r="F5583" t="inlineStr">
        <is>
          <t>Övriga statliga verk och myndigheter</t>
        </is>
      </c>
      <c r="G5583" t="n">
        <v>0.5</v>
      </c>
      <c r="H5583" t="n">
        <v>0</v>
      </c>
      <c r="I5583" t="n">
        <v>0</v>
      </c>
      <c r="J5583" t="n">
        <v>0</v>
      </c>
      <c r="K5583" t="n">
        <v>0</v>
      </c>
      <c r="L5583" t="n">
        <v>0</v>
      </c>
      <c r="M5583" t="n">
        <v>0</v>
      </c>
      <c r="N5583" t="n">
        <v>0</v>
      </c>
      <c r="O5583" t="n">
        <v>0</v>
      </c>
      <c r="P5583" t="n">
        <v>0</v>
      </c>
      <c r="Q5583" t="n">
        <v>0</v>
      </c>
      <c r="R5583" s="2" t="inlineStr"/>
    </row>
    <row r="5584" ht="15" customHeight="1">
      <c r="A5584" t="inlineStr">
        <is>
          <t>A 22770-2023</t>
        </is>
      </c>
      <c r="B5584" s="1" t="n">
        <v>45072</v>
      </c>
      <c r="C5584" s="1" t="n">
        <v>45210</v>
      </c>
      <c r="D5584" t="inlineStr">
        <is>
          <t>DALARNAS LÄN</t>
        </is>
      </c>
      <c r="E5584" t="inlineStr">
        <is>
          <t>MALUNG-SÄLEN</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22818-2023</t>
        </is>
      </c>
      <c r="B5585" s="1" t="n">
        <v>45072</v>
      </c>
      <c r="C5585" s="1" t="n">
        <v>45210</v>
      </c>
      <c r="D5585" t="inlineStr">
        <is>
          <t>DALARNAS LÄN</t>
        </is>
      </c>
      <c r="E5585" t="inlineStr">
        <is>
          <t>AVESTA</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22854-2023</t>
        </is>
      </c>
      <c r="B5586" s="1" t="n">
        <v>45072</v>
      </c>
      <c r="C5586" s="1" t="n">
        <v>45210</v>
      </c>
      <c r="D5586" t="inlineStr">
        <is>
          <t>DALARNAS LÄN</t>
        </is>
      </c>
      <c r="E5586" t="inlineStr">
        <is>
          <t>MORA</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22865-2023</t>
        </is>
      </c>
      <c r="B5587" s="1" t="n">
        <v>45072</v>
      </c>
      <c r="C5587" s="1" t="n">
        <v>45210</v>
      </c>
      <c r="D5587" t="inlineStr">
        <is>
          <t>DALARNAS LÄN</t>
        </is>
      </c>
      <c r="E5587" t="inlineStr">
        <is>
          <t>SMEDJEBACKEN</t>
        </is>
      </c>
      <c r="F5587" t="inlineStr">
        <is>
          <t>Sveaskog</t>
        </is>
      </c>
      <c r="G5587" t="n">
        <v>5.1</v>
      </c>
      <c r="H5587" t="n">
        <v>0</v>
      </c>
      <c r="I5587" t="n">
        <v>0</v>
      </c>
      <c r="J5587" t="n">
        <v>0</v>
      </c>
      <c r="K5587" t="n">
        <v>0</v>
      </c>
      <c r="L5587" t="n">
        <v>0</v>
      </c>
      <c r="M5587" t="n">
        <v>0</v>
      </c>
      <c r="N5587" t="n">
        <v>0</v>
      </c>
      <c r="O5587" t="n">
        <v>0</v>
      </c>
      <c r="P5587" t="n">
        <v>0</v>
      </c>
      <c r="Q5587" t="n">
        <v>0</v>
      </c>
      <c r="R5587" s="2" t="inlineStr"/>
    </row>
    <row r="5588" ht="15" customHeight="1">
      <c r="A5588" t="inlineStr">
        <is>
          <t>A 22882-2023</t>
        </is>
      </c>
      <c r="B5588" s="1" t="n">
        <v>45072</v>
      </c>
      <c r="C5588" s="1" t="n">
        <v>45210</v>
      </c>
      <c r="D5588" t="inlineStr">
        <is>
          <t>DALARNAS LÄN</t>
        </is>
      </c>
      <c r="E5588" t="inlineStr">
        <is>
          <t>LUDVIKA</t>
        </is>
      </c>
      <c r="F5588" t="inlineStr">
        <is>
          <t>Bergvik skog väst AB</t>
        </is>
      </c>
      <c r="G5588" t="n">
        <v>1.2</v>
      </c>
      <c r="H5588" t="n">
        <v>0</v>
      </c>
      <c r="I5588" t="n">
        <v>0</v>
      </c>
      <c r="J5588" t="n">
        <v>0</v>
      </c>
      <c r="K5588" t="n">
        <v>0</v>
      </c>
      <c r="L5588" t="n">
        <v>0</v>
      </c>
      <c r="M5588" t="n">
        <v>0</v>
      </c>
      <c r="N5588" t="n">
        <v>0</v>
      </c>
      <c r="O5588" t="n">
        <v>0</v>
      </c>
      <c r="P5588" t="n">
        <v>0</v>
      </c>
      <c r="Q5588" t="n">
        <v>0</v>
      </c>
      <c r="R5588" s="2" t="inlineStr"/>
      <c r="U5588">
        <f>HYPERLINK("https://klasma.github.io/Logging_2085/knärot/A 22882-2023.png", "A 22882-2023")</f>
        <v/>
      </c>
      <c r="V5588">
        <f>HYPERLINK("https://klasma.github.io/Logging_2085/klagomål/A 22882-2023.docx", "A 22882-2023")</f>
        <v/>
      </c>
      <c r="W5588">
        <f>HYPERLINK("https://klasma.github.io/Logging_2085/klagomålsmail/A 22882-2023.docx", "A 22882-2023")</f>
        <v/>
      </c>
      <c r="X5588">
        <f>HYPERLINK("https://klasma.github.io/Logging_2085/tillsyn/A 22882-2023.docx", "A 22882-2023")</f>
        <v/>
      </c>
      <c r="Y5588">
        <f>HYPERLINK("https://klasma.github.io/Logging_2085/tillsynsmail/A 22882-2023.docx", "A 22882-2023")</f>
        <v/>
      </c>
    </row>
    <row r="5589" ht="15" customHeight="1">
      <c r="A5589" t="inlineStr">
        <is>
          <t>A 22938-2023</t>
        </is>
      </c>
      <c r="B5589" s="1" t="n">
        <v>45072</v>
      </c>
      <c r="C5589" s="1" t="n">
        <v>45210</v>
      </c>
      <c r="D5589" t="inlineStr">
        <is>
          <t>DALARNAS LÄN</t>
        </is>
      </c>
      <c r="E5589" t="inlineStr">
        <is>
          <t>FALUN</t>
        </is>
      </c>
      <c r="G5589" t="n">
        <v>2.5</v>
      </c>
      <c r="H5589" t="n">
        <v>0</v>
      </c>
      <c r="I5589" t="n">
        <v>0</v>
      </c>
      <c r="J5589" t="n">
        <v>0</v>
      </c>
      <c r="K5589" t="n">
        <v>0</v>
      </c>
      <c r="L5589" t="n">
        <v>0</v>
      </c>
      <c r="M5589" t="n">
        <v>0</v>
      </c>
      <c r="N5589" t="n">
        <v>0</v>
      </c>
      <c r="O5589" t="n">
        <v>0</v>
      </c>
      <c r="P5589" t="n">
        <v>0</v>
      </c>
      <c r="Q5589" t="n">
        <v>0</v>
      </c>
      <c r="R5589" s="2" t="inlineStr"/>
    </row>
    <row r="5590" ht="15" customHeight="1">
      <c r="A5590" t="inlineStr">
        <is>
          <t>A 23422-2023</t>
        </is>
      </c>
      <c r="B5590" s="1" t="n">
        <v>45072</v>
      </c>
      <c r="C5590" s="1" t="n">
        <v>45210</v>
      </c>
      <c r="D5590" t="inlineStr">
        <is>
          <t>DALARNAS LÄN</t>
        </is>
      </c>
      <c r="E5590" t="inlineStr">
        <is>
          <t>MALUNG-SÄLEN</t>
        </is>
      </c>
      <c r="G5590" t="n">
        <v>9.4</v>
      </c>
      <c r="H5590" t="n">
        <v>0</v>
      </c>
      <c r="I5590" t="n">
        <v>0</v>
      </c>
      <c r="J5590" t="n">
        <v>0</v>
      </c>
      <c r="K5590" t="n">
        <v>0</v>
      </c>
      <c r="L5590" t="n">
        <v>0</v>
      </c>
      <c r="M5590" t="n">
        <v>0</v>
      </c>
      <c r="N5590" t="n">
        <v>0</v>
      </c>
      <c r="O5590" t="n">
        <v>0</v>
      </c>
      <c r="P5590" t="n">
        <v>0</v>
      </c>
      <c r="Q5590" t="n">
        <v>0</v>
      </c>
      <c r="R5590" s="2" t="inlineStr"/>
    </row>
    <row r="5591" ht="15" customHeight="1">
      <c r="A5591" t="inlineStr">
        <is>
          <t>A 23479-2023</t>
        </is>
      </c>
      <c r="B5591" s="1" t="n">
        <v>45072</v>
      </c>
      <c r="C5591" s="1" t="n">
        <v>45210</v>
      </c>
      <c r="D5591" t="inlineStr">
        <is>
          <t>DALARNAS LÄN</t>
        </is>
      </c>
      <c r="E5591" t="inlineStr">
        <is>
          <t>RÄTTVIK</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22772-2023</t>
        </is>
      </c>
      <c r="B5592" s="1" t="n">
        <v>45072</v>
      </c>
      <c r="C5592" s="1" t="n">
        <v>45210</v>
      </c>
      <c r="D5592" t="inlineStr">
        <is>
          <t>DALARNAS LÄN</t>
        </is>
      </c>
      <c r="E5592" t="inlineStr">
        <is>
          <t>MALUNG-SÄLEN</t>
        </is>
      </c>
      <c r="F5592" t="inlineStr">
        <is>
          <t>Bergvik skog öst AB</t>
        </is>
      </c>
      <c r="G5592" t="n">
        <v>1.2</v>
      </c>
      <c r="H5592" t="n">
        <v>0</v>
      </c>
      <c r="I5592" t="n">
        <v>0</v>
      </c>
      <c r="J5592" t="n">
        <v>0</v>
      </c>
      <c r="K5592" t="n">
        <v>0</v>
      </c>
      <c r="L5592" t="n">
        <v>0</v>
      </c>
      <c r="M5592" t="n">
        <v>0</v>
      </c>
      <c r="N5592" t="n">
        <v>0</v>
      </c>
      <c r="O5592" t="n">
        <v>0</v>
      </c>
      <c r="P5592" t="n">
        <v>0</v>
      </c>
      <c r="Q5592" t="n">
        <v>0</v>
      </c>
      <c r="R5592" s="2" t="inlineStr"/>
    </row>
    <row r="5593" ht="15" customHeight="1">
      <c r="A5593" t="inlineStr">
        <is>
          <t>A 22847-2023</t>
        </is>
      </c>
      <c r="B5593" s="1" t="n">
        <v>45072</v>
      </c>
      <c r="C5593" s="1" t="n">
        <v>45210</v>
      </c>
      <c r="D5593" t="inlineStr">
        <is>
          <t>DALARNAS LÄN</t>
        </is>
      </c>
      <c r="E5593" t="inlineStr">
        <is>
          <t>ÄLVDALEN</t>
        </is>
      </c>
      <c r="F5593" t="inlineStr">
        <is>
          <t>Bergvik skog väst AB</t>
        </is>
      </c>
      <c r="G5593" t="n">
        <v>8.1</v>
      </c>
      <c r="H5593" t="n">
        <v>0</v>
      </c>
      <c r="I5593" t="n">
        <v>0</v>
      </c>
      <c r="J5593" t="n">
        <v>0</v>
      </c>
      <c r="K5593" t="n">
        <v>0</v>
      </c>
      <c r="L5593" t="n">
        <v>0</v>
      </c>
      <c r="M5593" t="n">
        <v>0</v>
      </c>
      <c r="N5593" t="n">
        <v>0</v>
      </c>
      <c r="O5593" t="n">
        <v>0</v>
      </c>
      <c r="P5593" t="n">
        <v>0</v>
      </c>
      <c r="Q5593" t="n">
        <v>0</v>
      </c>
      <c r="R5593" s="2" t="inlineStr"/>
    </row>
    <row r="5594" ht="15" customHeight="1">
      <c r="A5594" t="inlineStr">
        <is>
          <t>A 22911-2023</t>
        </is>
      </c>
      <c r="B5594" s="1" t="n">
        <v>45072</v>
      </c>
      <c r="C5594" s="1" t="n">
        <v>45210</v>
      </c>
      <c r="D5594" t="inlineStr">
        <is>
          <t>DALARNAS LÄN</t>
        </is>
      </c>
      <c r="E5594" t="inlineStr">
        <is>
          <t>ORSA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22769-2023</t>
        </is>
      </c>
      <c r="B5595" s="1" t="n">
        <v>45072</v>
      </c>
      <c r="C5595" s="1" t="n">
        <v>45210</v>
      </c>
      <c r="D5595" t="inlineStr">
        <is>
          <t>DALARNAS LÄN</t>
        </is>
      </c>
      <c r="E5595" t="inlineStr">
        <is>
          <t>MALUNG-SÄLEN</t>
        </is>
      </c>
      <c r="G5595" t="n">
        <v>2.1</v>
      </c>
      <c r="H5595" t="n">
        <v>0</v>
      </c>
      <c r="I5595" t="n">
        <v>0</v>
      </c>
      <c r="J5595" t="n">
        <v>0</v>
      </c>
      <c r="K5595" t="n">
        <v>0</v>
      </c>
      <c r="L5595" t="n">
        <v>0</v>
      </c>
      <c r="M5595" t="n">
        <v>0</v>
      </c>
      <c r="N5595" t="n">
        <v>0</v>
      </c>
      <c r="O5595" t="n">
        <v>0</v>
      </c>
      <c r="P5595" t="n">
        <v>0</v>
      </c>
      <c r="Q5595" t="n">
        <v>0</v>
      </c>
      <c r="R5595" s="2" t="inlineStr"/>
    </row>
    <row r="5596" ht="15" customHeight="1">
      <c r="A5596" t="inlineStr">
        <is>
          <t>A 22780-2023</t>
        </is>
      </c>
      <c r="B5596" s="1" t="n">
        <v>45072</v>
      </c>
      <c r="C5596" s="1" t="n">
        <v>45210</v>
      </c>
      <c r="D5596" t="inlineStr">
        <is>
          <t>DALARNAS LÄN</t>
        </is>
      </c>
      <c r="E5596" t="inlineStr">
        <is>
          <t>MALUNG-SÄLEN</t>
        </is>
      </c>
      <c r="F5596" t="inlineStr">
        <is>
          <t>Bergvik skog öst AB</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22811-2023</t>
        </is>
      </c>
      <c r="B5597" s="1" t="n">
        <v>45072</v>
      </c>
      <c r="C5597" s="1" t="n">
        <v>45210</v>
      </c>
      <c r="D5597" t="inlineStr">
        <is>
          <t>DALARNAS LÄN</t>
        </is>
      </c>
      <c r="E5597" t="inlineStr">
        <is>
          <t>MALUNG-SÄLEN</t>
        </is>
      </c>
      <c r="F5597" t="inlineStr">
        <is>
          <t>Bergvik skog öst AB</t>
        </is>
      </c>
      <c r="G5597" t="n">
        <v>5.8</v>
      </c>
      <c r="H5597" t="n">
        <v>0</v>
      </c>
      <c r="I5597" t="n">
        <v>0</v>
      </c>
      <c r="J5597" t="n">
        <v>0</v>
      </c>
      <c r="K5597" t="n">
        <v>0</v>
      </c>
      <c r="L5597" t="n">
        <v>0</v>
      </c>
      <c r="M5597" t="n">
        <v>0</v>
      </c>
      <c r="N5597" t="n">
        <v>0</v>
      </c>
      <c r="O5597" t="n">
        <v>0</v>
      </c>
      <c r="P5597" t="n">
        <v>0</v>
      </c>
      <c r="Q5597" t="n">
        <v>0</v>
      </c>
      <c r="R5597" s="2" t="inlineStr"/>
    </row>
    <row r="5598" ht="15" customHeight="1">
      <c r="A5598" t="inlineStr">
        <is>
          <t>A 22881-2023</t>
        </is>
      </c>
      <c r="B5598" s="1" t="n">
        <v>45072</v>
      </c>
      <c r="C5598" s="1" t="n">
        <v>45210</v>
      </c>
      <c r="D5598" t="inlineStr">
        <is>
          <t>DALARNAS LÄN</t>
        </is>
      </c>
      <c r="E5598" t="inlineStr">
        <is>
          <t>MORA</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22885-2023</t>
        </is>
      </c>
      <c r="B5599" s="1" t="n">
        <v>45072</v>
      </c>
      <c r="C5599" s="1" t="n">
        <v>45210</v>
      </c>
      <c r="D5599" t="inlineStr">
        <is>
          <t>DALARNAS LÄN</t>
        </is>
      </c>
      <c r="E5599" t="inlineStr">
        <is>
          <t>VANSBRO</t>
        </is>
      </c>
      <c r="G5599" t="n">
        <v>8.4</v>
      </c>
      <c r="H5599" t="n">
        <v>0</v>
      </c>
      <c r="I5599" t="n">
        <v>0</v>
      </c>
      <c r="J5599" t="n">
        <v>0</v>
      </c>
      <c r="K5599" t="n">
        <v>0</v>
      </c>
      <c r="L5599" t="n">
        <v>0</v>
      </c>
      <c r="M5599" t="n">
        <v>0</v>
      </c>
      <c r="N5599" t="n">
        <v>0</v>
      </c>
      <c r="O5599" t="n">
        <v>0</v>
      </c>
      <c r="P5599" t="n">
        <v>0</v>
      </c>
      <c r="Q5599" t="n">
        <v>0</v>
      </c>
      <c r="R5599" s="2" t="inlineStr"/>
    </row>
    <row r="5600" ht="15" customHeight="1">
      <c r="A5600" t="inlineStr">
        <is>
          <t>A 23481-2023</t>
        </is>
      </c>
      <c r="B5600" s="1" t="n">
        <v>45072</v>
      </c>
      <c r="C5600" s="1" t="n">
        <v>45210</v>
      </c>
      <c r="D5600" t="inlineStr">
        <is>
          <t>DALARNAS LÄN</t>
        </is>
      </c>
      <c r="E5600" t="inlineStr">
        <is>
          <t>RÄTTVIK</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22816-2023</t>
        </is>
      </c>
      <c r="B5601" s="1" t="n">
        <v>45072</v>
      </c>
      <c r="C5601" s="1" t="n">
        <v>45210</v>
      </c>
      <c r="D5601" t="inlineStr">
        <is>
          <t>DALARNAS LÄN</t>
        </is>
      </c>
      <c r="E5601" t="inlineStr">
        <is>
          <t>AVESTA</t>
        </is>
      </c>
      <c r="G5601" t="n">
        <v>4.2</v>
      </c>
      <c r="H5601" t="n">
        <v>0</v>
      </c>
      <c r="I5601" t="n">
        <v>0</v>
      </c>
      <c r="J5601" t="n">
        <v>0</v>
      </c>
      <c r="K5601" t="n">
        <v>0</v>
      </c>
      <c r="L5601" t="n">
        <v>0</v>
      </c>
      <c r="M5601" t="n">
        <v>0</v>
      </c>
      <c r="N5601" t="n">
        <v>0</v>
      </c>
      <c r="O5601" t="n">
        <v>0</v>
      </c>
      <c r="P5601" t="n">
        <v>0</v>
      </c>
      <c r="Q5601" t="n">
        <v>0</v>
      </c>
      <c r="R5601" s="2" t="inlineStr"/>
    </row>
    <row r="5602" ht="15" customHeight="1">
      <c r="A5602" t="inlineStr">
        <is>
          <t>A 22898-2023</t>
        </is>
      </c>
      <c r="B5602" s="1" t="n">
        <v>45072</v>
      </c>
      <c r="C5602" s="1" t="n">
        <v>45210</v>
      </c>
      <c r="D5602" t="inlineStr">
        <is>
          <t>DALARNAS LÄN</t>
        </is>
      </c>
      <c r="E5602" t="inlineStr">
        <is>
          <t>FALUN</t>
        </is>
      </c>
      <c r="G5602" t="n">
        <v>7.4</v>
      </c>
      <c r="H5602" t="n">
        <v>0</v>
      </c>
      <c r="I5602" t="n">
        <v>0</v>
      </c>
      <c r="J5602" t="n">
        <v>0</v>
      </c>
      <c r="K5602" t="n">
        <v>0</v>
      </c>
      <c r="L5602" t="n">
        <v>0</v>
      </c>
      <c r="M5602" t="n">
        <v>0</v>
      </c>
      <c r="N5602" t="n">
        <v>0</v>
      </c>
      <c r="O5602" t="n">
        <v>0</v>
      </c>
      <c r="P5602" t="n">
        <v>0</v>
      </c>
      <c r="Q5602" t="n">
        <v>0</v>
      </c>
      <c r="R5602" s="2" t="inlineStr"/>
    </row>
    <row r="5603" ht="15" customHeight="1">
      <c r="A5603" t="inlineStr">
        <is>
          <t>A 22902-2023</t>
        </is>
      </c>
      <c r="B5603" s="1" t="n">
        <v>45072</v>
      </c>
      <c r="C5603" s="1" t="n">
        <v>45210</v>
      </c>
      <c r="D5603" t="inlineStr">
        <is>
          <t>DALARNAS LÄN</t>
        </is>
      </c>
      <c r="E5603" t="inlineStr">
        <is>
          <t>ORSA</t>
        </is>
      </c>
      <c r="G5603" t="n">
        <v>6.3</v>
      </c>
      <c r="H5603" t="n">
        <v>0</v>
      </c>
      <c r="I5603" t="n">
        <v>0</v>
      </c>
      <c r="J5603" t="n">
        <v>0</v>
      </c>
      <c r="K5603" t="n">
        <v>0</v>
      </c>
      <c r="L5603" t="n">
        <v>0</v>
      </c>
      <c r="M5603" t="n">
        <v>0</v>
      </c>
      <c r="N5603" t="n">
        <v>0</v>
      </c>
      <c r="O5603" t="n">
        <v>0</v>
      </c>
      <c r="P5603" t="n">
        <v>0</v>
      </c>
      <c r="Q5603" t="n">
        <v>0</v>
      </c>
      <c r="R5603" s="2" t="inlineStr"/>
    </row>
    <row r="5604" ht="15" customHeight="1">
      <c r="A5604" t="inlineStr">
        <is>
          <t>A 23129-2023</t>
        </is>
      </c>
      <c r="B5604" s="1" t="n">
        <v>45075</v>
      </c>
      <c r="C5604" s="1" t="n">
        <v>45210</v>
      </c>
      <c r="D5604" t="inlineStr">
        <is>
          <t>DALARNAS LÄN</t>
        </is>
      </c>
      <c r="E5604" t="inlineStr">
        <is>
          <t>ÄLVDALEN</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23163-2023</t>
        </is>
      </c>
      <c r="B5605" s="1" t="n">
        <v>45075</v>
      </c>
      <c r="C5605" s="1" t="n">
        <v>45210</v>
      </c>
      <c r="D5605" t="inlineStr">
        <is>
          <t>DALARNAS LÄN</t>
        </is>
      </c>
      <c r="E5605" t="inlineStr">
        <is>
          <t>RÄTTVIK</t>
        </is>
      </c>
      <c r="G5605" t="n">
        <v>1.5</v>
      </c>
      <c r="H5605" t="n">
        <v>0</v>
      </c>
      <c r="I5605" t="n">
        <v>0</v>
      </c>
      <c r="J5605" t="n">
        <v>0</v>
      </c>
      <c r="K5605" t="n">
        <v>0</v>
      </c>
      <c r="L5605" t="n">
        <v>0</v>
      </c>
      <c r="M5605" t="n">
        <v>0</v>
      </c>
      <c r="N5605" t="n">
        <v>0</v>
      </c>
      <c r="O5605" t="n">
        <v>0</v>
      </c>
      <c r="P5605" t="n">
        <v>0</v>
      </c>
      <c r="Q5605" t="n">
        <v>0</v>
      </c>
      <c r="R5605" s="2" t="inlineStr"/>
    </row>
    <row r="5606" ht="15" customHeight="1">
      <c r="A5606" t="inlineStr">
        <is>
          <t>A 23226-2023</t>
        </is>
      </c>
      <c r="B5606" s="1" t="n">
        <v>45075</v>
      </c>
      <c r="C5606" s="1" t="n">
        <v>45210</v>
      </c>
      <c r="D5606" t="inlineStr">
        <is>
          <t>DALARNAS LÄN</t>
        </is>
      </c>
      <c r="E5606" t="inlineStr">
        <is>
          <t>LEKSAND</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23233-2023</t>
        </is>
      </c>
      <c r="B5607" s="1" t="n">
        <v>45075</v>
      </c>
      <c r="C5607" s="1" t="n">
        <v>45210</v>
      </c>
      <c r="D5607" t="inlineStr">
        <is>
          <t>DALARNAS LÄN</t>
        </is>
      </c>
      <c r="E5607" t="inlineStr">
        <is>
          <t>FALUN</t>
        </is>
      </c>
      <c r="F5607" t="inlineStr">
        <is>
          <t>Övriga statliga verk och myndigheter</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23113-2023</t>
        </is>
      </c>
      <c r="B5608" s="1" t="n">
        <v>45075</v>
      </c>
      <c r="C5608" s="1" t="n">
        <v>45210</v>
      </c>
      <c r="D5608" t="inlineStr">
        <is>
          <t>DALARNAS LÄN</t>
        </is>
      </c>
      <c r="E5608" t="inlineStr">
        <is>
          <t>MORA</t>
        </is>
      </c>
      <c r="G5608" t="n">
        <v>18.3</v>
      </c>
      <c r="H5608" t="n">
        <v>0</v>
      </c>
      <c r="I5608" t="n">
        <v>0</v>
      </c>
      <c r="J5608" t="n">
        <v>0</v>
      </c>
      <c r="K5608" t="n">
        <v>0</v>
      </c>
      <c r="L5608" t="n">
        <v>0</v>
      </c>
      <c r="M5608" t="n">
        <v>0</v>
      </c>
      <c r="N5608" t="n">
        <v>0</v>
      </c>
      <c r="O5608" t="n">
        <v>0</v>
      </c>
      <c r="P5608" t="n">
        <v>0</v>
      </c>
      <c r="Q5608" t="n">
        <v>0</v>
      </c>
      <c r="R5608" s="2" t="inlineStr"/>
    </row>
    <row r="5609" ht="15" customHeight="1">
      <c r="A5609" t="inlineStr">
        <is>
          <t>A 23165-2023</t>
        </is>
      </c>
      <c r="B5609" s="1" t="n">
        <v>45075</v>
      </c>
      <c r="C5609" s="1" t="n">
        <v>45210</v>
      </c>
      <c r="D5609" t="inlineStr">
        <is>
          <t>DALARNAS LÄN</t>
        </is>
      </c>
      <c r="E5609" t="inlineStr">
        <is>
          <t>RÄTTVIK</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23195-2023</t>
        </is>
      </c>
      <c r="B5610" s="1" t="n">
        <v>45075</v>
      </c>
      <c r="C5610" s="1" t="n">
        <v>45210</v>
      </c>
      <c r="D5610" t="inlineStr">
        <is>
          <t>DALARNAS LÄN</t>
        </is>
      </c>
      <c r="E5610" t="inlineStr">
        <is>
          <t>FALUN</t>
        </is>
      </c>
      <c r="F5610" t="inlineStr">
        <is>
          <t>Övriga statliga verk och myndigheter</t>
        </is>
      </c>
      <c r="G5610" t="n">
        <v>5.3</v>
      </c>
      <c r="H5610" t="n">
        <v>0</v>
      </c>
      <c r="I5610" t="n">
        <v>0</v>
      </c>
      <c r="J5610" t="n">
        <v>0</v>
      </c>
      <c r="K5610" t="n">
        <v>0</v>
      </c>
      <c r="L5610" t="n">
        <v>0</v>
      </c>
      <c r="M5610" t="n">
        <v>0</v>
      </c>
      <c r="N5610" t="n">
        <v>0</v>
      </c>
      <c r="O5610" t="n">
        <v>0</v>
      </c>
      <c r="P5610" t="n">
        <v>0</v>
      </c>
      <c r="Q5610" t="n">
        <v>0</v>
      </c>
      <c r="R5610" s="2" t="inlineStr"/>
    </row>
    <row r="5611" ht="15" customHeight="1">
      <c r="A5611" t="inlineStr">
        <is>
          <t>A 23348-2023</t>
        </is>
      </c>
      <c r="B5611" s="1" t="n">
        <v>45076</v>
      </c>
      <c r="C5611" s="1" t="n">
        <v>45210</v>
      </c>
      <c r="D5611" t="inlineStr">
        <is>
          <t>DALARNAS LÄN</t>
        </is>
      </c>
      <c r="E5611" t="inlineStr">
        <is>
          <t>LEKSAND</t>
        </is>
      </c>
      <c r="G5611" t="n">
        <v>1.6</v>
      </c>
      <c r="H5611" t="n">
        <v>0</v>
      </c>
      <c r="I5611" t="n">
        <v>0</v>
      </c>
      <c r="J5611" t="n">
        <v>0</v>
      </c>
      <c r="K5611" t="n">
        <v>0</v>
      </c>
      <c r="L5611" t="n">
        <v>0</v>
      </c>
      <c r="M5611" t="n">
        <v>0</v>
      </c>
      <c r="N5611" t="n">
        <v>0</v>
      </c>
      <c r="O5611" t="n">
        <v>0</v>
      </c>
      <c r="P5611" t="n">
        <v>0</v>
      </c>
      <c r="Q5611" t="n">
        <v>0</v>
      </c>
      <c r="R5611" s="2" t="inlineStr"/>
    </row>
    <row r="5612" ht="15" customHeight="1">
      <c r="A5612" t="inlineStr">
        <is>
          <t>A 23461-2023</t>
        </is>
      </c>
      <c r="B5612" s="1" t="n">
        <v>45076</v>
      </c>
      <c r="C5612" s="1" t="n">
        <v>45210</v>
      </c>
      <c r="D5612" t="inlineStr">
        <is>
          <t>DALARNAS LÄN</t>
        </is>
      </c>
      <c r="E5612" t="inlineStr">
        <is>
          <t>ORSA</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23320-2023</t>
        </is>
      </c>
      <c r="B5613" s="1" t="n">
        <v>45076</v>
      </c>
      <c r="C5613" s="1" t="n">
        <v>45210</v>
      </c>
      <c r="D5613" t="inlineStr">
        <is>
          <t>DALARNAS LÄN</t>
        </is>
      </c>
      <c r="E5613" t="inlineStr">
        <is>
          <t>MALUNG-SÄLEN</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23355-2023</t>
        </is>
      </c>
      <c r="B5614" s="1" t="n">
        <v>45076</v>
      </c>
      <c r="C5614" s="1" t="n">
        <v>45210</v>
      </c>
      <c r="D5614" t="inlineStr">
        <is>
          <t>DALARNAS LÄN</t>
        </is>
      </c>
      <c r="E5614" t="inlineStr">
        <is>
          <t>FALUN</t>
        </is>
      </c>
      <c r="G5614" t="n">
        <v>5.6</v>
      </c>
      <c r="H5614" t="n">
        <v>0</v>
      </c>
      <c r="I5614" t="n">
        <v>0</v>
      </c>
      <c r="J5614" t="n">
        <v>0</v>
      </c>
      <c r="K5614" t="n">
        <v>0</v>
      </c>
      <c r="L5614" t="n">
        <v>0</v>
      </c>
      <c r="M5614" t="n">
        <v>0</v>
      </c>
      <c r="N5614" t="n">
        <v>0</v>
      </c>
      <c r="O5614" t="n">
        <v>0</v>
      </c>
      <c r="P5614" t="n">
        <v>0</v>
      </c>
      <c r="Q5614" t="n">
        <v>0</v>
      </c>
      <c r="R5614" s="2" t="inlineStr"/>
    </row>
    <row r="5615" ht="15" customHeight="1">
      <c r="A5615" t="inlineStr">
        <is>
          <t>A 23360-2023</t>
        </is>
      </c>
      <c r="B5615" s="1" t="n">
        <v>45076</v>
      </c>
      <c r="C5615" s="1" t="n">
        <v>45210</v>
      </c>
      <c r="D5615" t="inlineStr">
        <is>
          <t>DALARNAS LÄN</t>
        </is>
      </c>
      <c r="E5615" t="inlineStr">
        <is>
          <t>FALUN</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23378-2023</t>
        </is>
      </c>
      <c r="B5616" s="1" t="n">
        <v>45076</v>
      </c>
      <c r="C5616" s="1" t="n">
        <v>45210</v>
      </c>
      <c r="D5616" t="inlineStr">
        <is>
          <t>DALARNAS LÄN</t>
        </is>
      </c>
      <c r="E5616" t="inlineStr">
        <is>
          <t>BORLÄNGE</t>
        </is>
      </c>
      <c r="G5616" t="n">
        <v>4.6</v>
      </c>
      <c r="H5616" t="n">
        <v>0</v>
      </c>
      <c r="I5616" t="n">
        <v>0</v>
      </c>
      <c r="J5616" t="n">
        <v>0</v>
      </c>
      <c r="K5616" t="n">
        <v>0</v>
      </c>
      <c r="L5616" t="n">
        <v>0</v>
      </c>
      <c r="M5616" t="n">
        <v>0</v>
      </c>
      <c r="N5616" t="n">
        <v>0</v>
      </c>
      <c r="O5616" t="n">
        <v>0</v>
      </c>
      <c r="P5616" t="n">
        <v>0</v>
      </c>
      <c r="Q5616" t="n">
        <v>0</v>
      </c>
      <c r="R5616" s="2" t="inlineStr"/>
    </row>
    <row r="5617" ht="15" customHeight="1">
      <c r="A5617" t="inlineStr">
        <is>
          <t>A 23457-2023</t>
        </is>
      </c>
      <c r="B5617" s="1" t="n">
        <v>45076</v>
      </c>
      <c r="C5617" s="1" t="n">
        <v>45210</v>
      </c>
      <c r="D5617" t="inlineStr">
        <is>
          <t>DALARNAS LÄN</t>
        </is>
      </c>
      <c r="E5617" t="inlineStr">
        <is>
          <t>ORSA</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23364-2023</t>
        </is>
      </c>
      <c r="B5618" s="1" t="n">
        <v>45076</v>
      </c>
      <c r="C5618" s="1" t="n">
        <v>45210</v>
      </c>
      <c r="D5618" t="inlineStr">
        <is>
          <t>DALARNAS LÄN</t>
        </is>
      </c>
      <c r="E5618" t="inlineStr">
        <is>
          <t>FALUN</t>
        </is>
      </c>
      <c r="G5618" t="n">
        <v>1.8</v>
      </c>
      <c r="H5618" t="n">
        <v>0</v>
      </c>
      <c r="I5618" t="n">
        <v>0</v>
      </c>
      <c r="J5618" t="n">
        <v>0</v>
      </c>
      <c r="K5618" t="n">
        <v>0</v>
      </c>
      <c r="L5618" t="n">
        <v>0</v>
      </c>
      <c r="M5618" t="n">
        <v>0</v>
      </c>
      <c r="N5618" t="n">
        <v>0</v>
      </c>
      <c r="O5618" t="n">
        <v>0</v>
      </c>
      <c r="P5618" t="n">
        <v>0</v>
      </c>
      <c r="Q5618" t="n">
        <v>0</v>
      </c>
      <c r="R5618" s="2" t="inlineStr"/>
    </row>
    <row r="5619" ht="15" customHeight="1">
      <c r="A5619" t="inlineStr">
        <is>
          <t>A 23369-2023</t>
        </is>
      </c>
      <c r="B5619" s="1" t="n">
        <v>45076</v>
      </c>
      <c r="C5619" s="1" t="n">
        <v>45210</v>
      </c>
      <c r="D5619" t="inlineStr">
        <is>
          <t>DALARNAS LÄN</t>
        </is>
      </c>
      <c r="E5619" t="inlineStr">
        <is>
          <t>ÄLVDALEN</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23323-2023</t>
        </is>
      </c>
      <c r="B5620" s="1" t="n">
        <v>45076</v>
      </c>
      <c r="C5620" s="1" t="n">
        <v>45210</v>
      </c>
      <c r="D5620" t="inlineStr">
        <is>
          <t>DALARNAS LÄN</t>
        </is>
      </c>
      <c r="E5620" t="inlineStr">
        <is>
          <t>LEKSAND</t>
        </is>
      </c>
      <c r="G5620" t="n">
        <v>1</v>
      </c>
      <c r="H5620" t="n">
        <v>0</v>
      </c>
      <c r="I5620" t="n">
        <v>0</v>
      </c>
      <c r="J5620" t="n">
        <v>0</v>
      </c>
      <c r="K5620" t="n">
        <v>0</v>
      </c>
      <c r="L5620" t="n">
        <v>0</v>
      </c>
      <c r="M5620" t="n">
        <v>0</v>
      </c>
      <c r="N5620" t="n">
        <v>0</v>
      </c>
      <c r="O5620" t="n">
        <v>0</v>
      </c>
      <c r="P5620" t="n">
        <v>0</v>
      </c>
      <c r="Q5620" t="n">
        <v>0</v>
      </c>
      <c r="R5620" s="2" t="inlineStr"/>
    </row>
    <row r="5621" ht="15" customHeight="1">
      <c r="A5621" t="inlineStr">
        <is>
          <t>A 23452-2023</t>
        </is>
      </c>
      <c r="B5621" s="1" t="n">
        <v>45076</v>
      </c>
      <c r="C5621" s="1" t="n">
        <v>45210</v>
      </c>
      <c r="D5621" t="inlineStr">
        <is>
          <t>DALARNAS LÄN</t>
        </is>
      </c>
      <c r="E5621" t="inlineStr">
        <is>
          <t>MALUNG-SÄLEN</t>
        </is>
      </c>
      <c r="F5621" t="inlineStr">
        <is>
          <t>Bergvik skog öst AB</t>
        </is>
      </c>
      <c r="G5621" t="n">
        <v>6.2</v>
      </c>
      <c r="H5621" t="n">
        <v>0</v>
      </c>
      <c r="I5621" t="n">
        <v>0</v>
      </c>
      <c r="J5621" t="n">
        <v>0</v>
      </c>
      <c r="K5621" t="n">
        <v>0</v>
      </c>
      <c r="L5621" t="n">
        <v>0</v>
      </c>
      <c r="M5621" t="n">
        <v>0</v>
      </c>
      <c r="N5621" t="n">
        <v>0</v>
      </c>
      <c r="O5621" t="n">
        <v>0</v>
      </c>
      <c r="P5621" t="n">
        <v>0</v>
      </c>
      <c r="Q5621" t="n">
        <v>0</v>
      </c>
      <c r="R5621" s="2" t="inlineStr"/>
    </row>
    <row r="5622" ht="15" customHeight="1">
      <c r="A5622" t="inlineStr">
        <is>
          <t>A 23509-2023</t>
        </is>
      </c>
      <c r="B5622" s="1" t="n">
        <v>45076</v>
      </c>
      <c r="C5622" s="1" t="n">
        <v>45210</v>
      </c>
      <c r="D5622" t="inlineStr">
        <is>
          <t>DALARNAS LÄN</t>
        </is>
      </c>
      <c r="E5622" t="inlineStr">
        <is>
          <t>LEKSAND</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23552-2023</t>
        </is>
      </c>
      <c r="B5623" s="1" t="n">
        <v>45077</v>
      </c>
      <c r="C5623" s="1" t="n">
        <v>45210</v>
      </c>
      <c r="D5623" t="inlineStr">
        <is>
          <t>DALARNAS LÄN</t>
        </is>
      </c>
      <c r="E5623" t="inlineStr">
        <is>
          <t>SÄTER</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23655-2023</t>
        </is>
      </c>
      <c r="B5624" s="1" t="n">
        <v>45077</v>
      </c>
      <c r="C5624" s="1" t="n">
        <v>45210</v>
      </c>
      <c r="D5624" t="inlineStr">
        <is>
          <t>DALARNAS LÄN</t>
        </is>
      </c>
      <c r="E5624" t="inlineStr">
        <is>
          <t>SMEDJEBACKEN</t>
        </is>
      </c>
      <c r="G5624" t="n">
        <v>3.2</v>
      </c>
      <c r="H5624" t="n">
        <v>0</v>
      </c>
      <c r="I5624" t="n">
        <v>0</v>
      </c>
      <c r="J5624" t="n">
        <v>0</v>
      </c>
      <c r="K5624" t="n">
        <v>0</v>
      </c>
      <c r="L5624" t="n">
        <v>0</v>
      </c>
      <c r="M5624" t="n">
        <v>0</v>
      </c>
      <c r="N5624" t="n">
        <v>0</v>
      </c>
      <c r="O5624" t="n">
        <v>0</v>
      </c>
      <c r="P5624" t="n">
        <v>0</v>
      </c>
      <c r="Q5624" t="n">
        <v>0</v>
      </c>
      <c r="R5624" s="2" t="inlineStr"/>
    </row>
    <row r="5625" ht="15" customHeight="1">
      <c r="A5625" t="inlineStr">
        <is>
          <t>A 23687-2023</t>
        </is>
      </c>
      <c r="B5625" s="1" t="n">
        <v>45077</v>
      </c>
      <c r="C5625" s="1" t="n">
        <v>45210</v>
      </c>
      <c r="D5625" t="inlineStr">
        <is>
          <t>DALARNAS LÄN</t>
        </is>
      </c>
      <c r="E5625" t="inlineStr">
        <is>
          <t>SMEDJEBACKEN</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23762-2023</t>
        </is>
      </c>
      <c r="B5626" s="1" t="n">
        <v>45077</v>
      </c>
      <c r="C5626" s="1" t="n">
        <v>45210</v>
      </c>
      <c r="D5626" t="inlineStr">
        <is>
          <t>DALARNAS LÄN</t>
        </is>
      </c>
      <c r="E5626" t="inlineStr">
        <is>
          <t>FALUN</t>
        </is>
      </c>
      <c r="G5626" t="n">
        <v>6.5</v>
      </c>
      <c r="H5626" t="n">
        <v>0</v>
      </c>
      <c r="I5626" t="n">
        <v>0</v>
      </c>
      <c r="J5626" t="n">
        <v>0</v>
      </c>
      <c r="K5626" t="n">
        <v>0</v>
      </c>
      <c r="L5626" t="n">
        <v>0</v>
      </c>
      <c r="M5626" t="n">
        <v>0</v>
      </c>
      <c r="N5626" t="n">
        <v>0</v>
      </c>
      <c r="O5626" t="n">
        <v>0</v>
      </c>
      <c r="P5626" t="n">
        <v>0</v>
      </c>
      <c r="Q5626" t="n">
        <v>0</v>
      </c>
      <c r="R5626" s="2" t="inlineStr"/>
    </row>
    <row r="5627" ht="15" customHeight="1">
      <c r="A5627" t="inlineStr">
        <is>
          <t>A 23570-2023</t>
        </is>
      </c>
      <c r="B5627" s="1" t="n">
        <v>45077</v>
      </c>
      <c r="C5627" s="1" t="n">
        <v>45210</v>
      </c>
      <c r="D5627" t="inlineStr">
        <is>
          <t>DALARNAS LÄN</t>
        </is>
      </c>
      <c r="E5627" t="inlineStr">
        <is>
          <t>ÄLVDALEN</t>
        </is>
      </c>
      <c r="G5627" t="n">
        <v>4.9</v>
      </c>
      <c r="H5627" t="n">
        <v>0</v>
      </c>
      <c r="I5627" t="n">
        <v>0</v>
      </c>
      <c r="J5627" t="n">
        <v>0</v>
      </c>
      <c r="K5627" t="n">
        <v>0</v>
      </c>
      <c r="L5627" t="n">
        <v>0</v>
      </c>
      <c r="M5627" t="n">
        <v>0</v>
      </c>
      <c r="N5627" t="n">
        <v>0</v>
      </c>
      <c r="O5627" t="n">
        <v>0</v>
      </c>
      <c r="P5627" t="n">
        <v>0</v>
      </c>
      <c r="Q5627" t="n">
        <v>0</v>
      </c>
      <c r="R5627" s="2" t="inlineStr"/>
    </row>
    <row r="5628" ht="15" customHeight="1">
      <c r="A5628" t="inlineStr">
        <is>
          <t>A 23586-2023</t>
        </is>
      </c>
      <c r="B5628" s="1" t="n">
        <v>45077</v>
      </c>
      <c r="C5628" s="1" t="n">
        <v>45210</v>
      </c>
      <c r="D5628" t="inlineStr">
        <is>
          <t>DALARNAS LÄN</t>
        </is>
      </c>
      <c r="E5628" t="inlineStr">
        <is>
          <t>MORA</t>
        </is>
      </c>
      <c r="G5628" t="n">
        <v>9.199999999999999</v>
      </c>
      <c r="H5628" t="n">
        <v>0</v>
      </c>
      <c r="I5628" t="n">
        <v>0</v>
      </c>
      <c r="J5628" t="n">
        <v>0</v>
      </c>
      <c r="K5628" t="n">
        <v>0</v>
      </c>
      <c r="L5628" t="n">
        <v>0</v>
      </c>
      <c r="M5628" t="n">
        <v>0</v>
      </c>
      <c r="N5628" t="n">
        <v>0</v>
      </c>
      <c r="O5628" t="n">
        <v>0</v>
      </c>
      <c r="P5628" t="n">
        <v>0</v>
      </c>
      <c r="Q5628" t="n">
        <v>0</v>
      </c>
      <c r="R5628" s="2" t="inlineStr"/>
    </row>
    <row r="5629" ht="15" customHeight="1">
      <c r="A5629" t="inlineStr">
        <is>
          <t>A 23621-2023</t>
        </is>
      </c>
      <c r="B5629" s="1" t="n">
        <v>45077</v>
      </c>
      <c r="C5629" s="1" t="n">
        <v>45210</v>
      </c>
      <c r="D5629" t="inlineStr">
        <is>
          <t>DALARNAS LÄN</t>
        </is>
      </c>
      <c r="E5629" t="inlineStr">
        <is>
          <t>GAGNEF</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23654-2023</t>
        </is>
      </c>
      <c r="B5630" s="1" t="n">
        <v>45077</v>
      </c>
      <c r="C5630" s="1" t="n">
        <v>45210</v>
      </c>
      <c r="D5630" t="inlineStr">
        <is>
          <t>DALARNAS LÄN</t>
        </is>
      </c>
      <c r="E5630" t="inlineStr">
        <is>
          <t>GAGNEF</t>
        </is>
      </c>
      <c r="G5630" t="n">
        <v>3</v>
      </c>
      <c r="H5630" t="n">
        <v>0</v>
      </c>
      <c r="I5630" t="n">
        <v>0</v>
      </c>
      <c r="J5630" t="n">
        <v>0</v>
      </c>
      <c r="K5630" t="n">
        <v>0</v>
      </c>
      <c r="L5630" t="n">
        <v>0</v>
      </c>
      <c r="M5630" t="n">
        <v>0</v>
      </c>
      <c r="N5630" t="n">
        <v>0</v>
      </c>
      <c r="O5630" t="n">
        <v>0</v>
      </c>
      <c r="P5630" t="n">
        <v>0</v>
      </c>
      <c r="Q5630" t="n">
        <v>0</v>
      </c>
      <c r="R5630" s="2" t="inlineStr"/>
    </row>
    <row r="5631" ht="15" customHeight="1">
      <c r="A5631" t="inlineStr">
        <is>
          <t>A 23698-2023</t>
        </is>
      </c>
      <c r="B5631" s="1" t="n">
        <v>45077</v>
      </c>
      <c r="C5631" s="1" t="n">
        <v>45210</v>
      </c>
      <c r="D5631" t="inlineStr">
        <is>
          <t>DALARNAS LÄN</t>
        </is>
      </c>
      <c r="E5631" t="inlineStr">
        <is>
          <t>VANSBRO</t>
        </is>
      </c>
      <c r="G5631" t="n">
        <v>1.7</v>
      </c>
      <c r="H5631" t="n">
        <v>0</v>
      </c>
      <c r="I5631" t="n">
        <v>0</v>
      </c>
      <c r="J5631" t="n">
        <v>0</v>
      </c>
      <c r="K5631" t="n">
        <v>0</v>
      </c>
      <c r="L5631" t="n">
        <v>0</v>
      </c>
      <c r="M5631" t="n">
        <v>0</v>
      </c>
      <c r="N5631" t="n">
        <v>0</v>
      </c>
      <c r="O5631" t="n">
        <v>0</v>
      </c>
      <c r="P5631" t="n">
        <v>0</v>
      </c>
      <c r="Q5631" t="n">
        <v>0</v>
      </c>
      <c r="R5631" s="2" t="inlineStr"/>
    </row>
    <row r="5632" ht="15" customHeight="1">
      <c r="A5632" t="inlineStr">
        <is>
          <t>A 23737-2023</t>
        </is>
      </c>
      <c r="B5632" s="1" t="n">
        <v>45077</v>
      </c>
      <c r="C5632" s="1" t="n">
        <v>45210</v>
      </c>
      <c r="D5632" t="inlineStr">
        <is>
          <t>DALARNAS LÄN</t>
        </is>
      </c>
      <c r="E5632" t="inlineStr">
        <is>
          <t>MORA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23747-2023</t>
        </is>
      </c>
      <c r="B5633" s="1" t="n">
        <v>45077</v>
      </c>
      <c r="C5633" s="1" t="n">
        <v>45210</v>
      </c>
      <c r="D5633" t="inlineStr">
        <is>
          <t>DALARNAS LÄN</t>
        </is>
      </c>
      <c r="E5633" t="inlineStr">
        <is>
          <t>FALUN</t>
        </is>
      </c>
      <c r="G5633" t="n">
        <v>4</v>
      </c>
      <c r="H5633" t="n">
        <v>0</v>
      </c>
      <c r="I5633" t="n">
        <v>0</v>
      </c>
      <c r="J5633" t="n">
        <v>0</v>
      </c>
      <c r="K5633" t="n">
        <v>0</v>
      </c>
      <c r="L5633" t="n">
        <v>0</v>
      </c>
      <c r="M5633" t="n">
        <v>0</v>
      </c>
      <c r="N5633" t="n">
        <v>0</v>
      </c>
      <c r="O5633" t="n">
        <v>0</v>
      </c>
      <c r="P5633" t="n">
        <v>0</v>
      </c>
      <c r="Q5633" t="n">
        <v>0</v>
      </c>
      <c r="R5633" s="2" t="inlineStr"/>
    </row>
    <row r="5634" ht="15" customHeight="1">
      <c r="A5634" t="inlineStr">
        <is>
          <t>A 24477-2023</t>
        </is>
      </c>
      <c r="B5634" s="1" t="n">
        <v>45077</v>
      </c>
      <c r="C5634" s="1" t="n">
        <v>45210</v>
      </c>
      <c r="D5634" t="inlineStr">
        <is>
          <t>DALARNAS LÄN</t>
        </is>
      </c>
      <c r="E5634" t="inlineStr">
        <is>
          <t>MALUNG-SÄLEN</t>
        </is>
      </c>
      <c r="G5634" t="n">
        <v>4.7</v>
      </c>
      <c r="H5634" t="n">
        <v>0</v>
      </c>
      <c r="I5634" t="n">
        <v>0</v>
      </c>
      <c r="J5634" t="n">
        <v>0</v>
      </c>
      <c r="K5634" t="n">
        <v>0</v>
      </c>
      <c r="L5634" t="n">
        <v>0</v>
      </c>
      <c r="M5634" t="n">
        <v>0</v>
      </c>
      <c r="N5634" t="n">
        <v>0</v>
      </c>
      <c r="O5634" t="n">
        <v>0</v>
      </c>
      <c r="P5634" t="n">
        <v>0</v>
      </c>
      <c r="Q5634" t="n">
        <v>0</v>
      </c>
      <c r="R5634" s="2" t="inlineStr"/>
    </row>
    <row r="5635" ht="15" customHeight="1">
      <c r="A5635" t="inlineStr">
        <is>
          <t>A 23667-2023</t>
        </is>
      </c>
      <c r="B5635" s="1" t="n">
        <v>45077</v>
      </c>
      <c r="C5635" s="1" t="n">
        <v>45210</v>
      </c>
      <c r="D5635" t="inlineStr">
        <is>
          <t>DALARNAS LÄN</t>
        </is>
      </c>
      <c r="E5635" t="inlineStr">
        <is>
          <t>RÄTTVIK</t>
        </is>
      </c>
      <c r="G5635" t="n">
        <v>7</v>
      </c>
      <c r="H5635" t="n">
        <v>0</v>
      </c>
      <c r="I5635" t="n">
        <v>0</v>
      </c>
      <c r="J5635" t="n">
        <v>0</v>
      </c>
      <c r="K5635" t="n">
        <v>0</v>
      </c>
      <c r="L5635" t="n">
        <v>0</v>
      </c>
      <c r="M5635" t="n">
        <v>0</v>
      </c>
      <c r="N5635" t="n">
        <v>0</v>
      </c>
      <c r="O5635" t="n">
        <v>0</v>
      </c>
      <c r="P5635" t="n">
        <v>0</v>
      </c>
      <c r="Q5635" t="n">
        <v>0</v>
      </c>
      <c r="R5635" s="2" t="inlineStr"/>
    </row>
    <row r="5636" ht="15" customHeight="1">
      <c r="A5636" t="inlineStr">
        <is>
          <t>A 23899-2023</t>
        </is>
      </c>
      <c r="B5636" s="1" t="n">
        <v>45078</v>
      </c>
      <c r="C5636" s="1" t="n">
        <v>45210</v>
      </c>
      <c r="D5636" t="inlineStr">
        <is>
          <t>DALARNAS LÄN</t>
        </is>
      </c>
      <c r="E5636" t="inlineStr">
        <is>
          <t>VANSBRO</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23872-2023</t>
        </is>
      </c>
      <c r="B5637" s="1" t="n">
        <v>45078</v>
      </c>
      <c r="C5637" s="1" t="n">
        <v>45210</v>
      </c>
      <c r="D5637" t="inlineStr">
        <is>
          <t>DALARNAS LÄN</t>
        </is>
      </c>
      <c r="E5637" t="inlineStr">
        <is>
          <t>ÄLVDALEN</t>
        </is>
      </c>
      <c r="F5637" t="inlineStr">
        <is>
          <t>Allmännings- och besparingsskogar</t>
        </is>
      </c>
      <c r="G5637" t="n">
        <v>79.5</v>
      </c>
      <c r="H5637" t="n">
        <v>0</v>
      </c>
      <c r="I5637" t="n">
        <v>0</v>
      </c>
      <c r="J5637" t="n">
        <v>0</v>
      </c>
      <c r="K5637" t="n">
        <v>0</v>
      </c>
      <c r="L5637" t="n">
        <v>0</v>
      </c>
      <c r="M5637" t="n">
        <v>0</v>
      </c>
      <c r="N5637" t="n">
        <v>0</v>
      </c>
      <c r="O5637" t="n">
        <v>0</v>
      </c>
      <c r="P5637" t="n">
        <v>0</v>
      </c>
      <c r="Q5637" t="n">
        <v>0</v>
      </c>
      <c r="R5637" s="2" t="inlineStr"/>
    </row>
    <row r="5638" ht="15" customHeight="1">
      <c r="A5638" t="inlineStr">
        <is>
          <t>A 23960-2023</t>
        </is>
      </c>
      <c r="B5638" s="1" t="n">
        <v>45078</v>
      </c>
      <c r="C5638" s="1" t="n">
        <v>45210</v>
      </c>
      <c r="D5638" t="inlineStr">
        <is>
          <t>DALARNAS LÄN</t>
        </is>
      </c>
      <c r="E5638" t="inlineStr">
        <is>
          <t>GAGNEF</t>
        </is>
      </c>
      <c r="G5638" t="n">
        <v>3.1</v>
      </c>
      <c r="H5638" t="n">
        <v>0</v>
      </c>
      <c r="I5638" t="n">
        <v>0</v>
      </c>
      <c r="J5638" t="n">
        <v>0</v>
      </c>
      <c r="K5638" t="n">
        <v>0</v>
      </c>
      <c r="L5638" t="n">
        <v>0</v>
      </c>
      <c r="M5638" t="n">
        <v>0</v>
      </c>
      <c r="N5638" t="n">
        <v>0</v>
      </c>
      <c r="O5638" t="n">
        <v>0</v>
      </c>
      <c r="P5638" t="n">
        <v>0</v>
      </c>
      <c r="Q5638" t="n">
        <v>0</v>
      </c>
      <c r="R5638" s="2" t="inlineStr"/>
    </row>
    <row r="5639" ht="15" customHeight="1">
      <c r="A5639" t="inlineStr">
        <is>
          <t>A 23817-2023</t>
        </is>
      </c>
      <c r="B5639" s="1" t="n">
        <v>45078</v>
      </c>
      <c r="C5639" s="1" t="n">
        <v>45210</v>
      </c>
      <c r="D5639" t="inlineStr">
        <is>
          <t>DALARNAS LÄN</t>
        </is>
      </c>
      <c r="E5639" t="inlineStr">
        <is>
          <t>FALUN</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23989-2023</t>
        </is>
      </c>
      <c r="B5640" s="1" t="n">
        <v>45078</v>
      </c>
      <c r="C5640" s="1" t="n">
        <v>45210</v>
      </c>
      <c r="D5640" t="inlineStr">
        <is>
          <t>DALARNAS LÄN</t>
        </is>
      </c>
      <c r="E5640" t="inlineStr">
        <is>
          <t>MALUNG-SÄLEN</t>
        </is>
      </c>
      <c r="F5640" t="inlineStr">
        <is>
          <t>Bergvik skog öst AB</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23910-2023</t>
        </is>
      </c>
      <c r="B5641" s="1" t="n">
        <v>45078</v>
      </c>
      <c r="C5641" s="1" t="n">
        <v>45210</v>
      </c>
      <c r="D5641" t="inlineStr">
        <is>
          <t>DALARNAS LÄN</t>
        </is>
      </c>
      <c r="E5641" t="inlineStr">
        <is>
          <t>LEKSAND</t>
        </is>
      </c>
      <c r="G5641" t="n">
        <v>3.8</v>
      </c>
      <c r="H5641" t="n">
        <v>0</v>
      </c>
      <c r="I5641" t="n">
        <v>0</v>
      </c>
      <c r="J5641" t="n">
        <v>0</v>
      </c>
      <c r="K5641" t="n">
        <v>0</v>
      </c>
      <c r="L5641" t="n">
        <v>0</v>
      </c>
      <c r="M5641" t="n">
        <v>0</v>
      </c>
      <c r="N5641" t="n">
        <v>0</v>
      </c>
      <c r="O5641" t="n">
        <v>0</v>
      </c>
      <c r="P5641" t="n">
        <v>0</v>
      </c>
      <c r="Q5641" t="n">
        <v>0</v>
      </c>
      <c r="R5641" s="2" t="inlineStr"/>
    </row>
    <row r="5642" ht="15" customHeight="1">
      <c r="A5642" t="inlineStr">
        <is>
          <t>A 23914-2023</t>
        </is>
      </c>
      <c r="B5642" s="1" t="n">
        <v>45078</v>
      </c>
      <c r="C5642" s="1" t="n">
        <v>45210</v>
      </c>
      <c r="D5642" t="inlineStr">
        <is>
          <t>DALARNAS LÄN</t>
        </is>
      </c>
      <c r="E5642" t="inlineStr">
        <is>
          <t>VANSBRO</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24132-2023</t>
        </is>
      </c>
      <c r="B5643" s="1" t="n">
        <v>45079</v>
      </c>
      <c r="C5643" s="1" t="n">
        <v>45210</v>
      </c>
      <c r="D5643" t="inlineStr">
        <is>
          <t>DALARNAS LÄN</t>
        </is>
      </c>
      <c r="E5643" t="inlineStr">
        <is>
          <t>MALUNG-SÄLEN</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24177-2023</t>
        </is>
      </c>
      <c r="B5644" s="1" t="n">
        <v>45079</v>
      </c>
      <c r="C5644" s="1" t="n">
        <v>45210</v>
      </c>
      <c r="D5644" t="inlineStr">
        <is>
          <t>DALARNAS LÄN</t>
        </is>
      </c>
      <c r="E5644" t="inlineStr">
        <is>
          <t>AVESTA</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24181-2023</t>
        </is>
      </c>
      <c r="B5645" s="1" t="n">
        <v>45079</v>
      </c>
      <c r="C5645" s="1" t="n">
        <v>45210</v>
      </c>
      <c r="D5645" t="inlineStr">
        <is>
          <t>DALARNAS LÄN</t>
        </is>
      </c>
      <c r="E5645" t="inlineStr">
        <is>
          <t>BORLÄNGE</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24178-2023</t>
        </is>
      </c>
      <c r="B5646" s="1" t="n">
        <v>45079</v>
      </c>
      <c r="C5646" s="1" t="n">
        <v>45210</v>
      </c>
      <c r="D5646" t="inlineStr">
        <is>
          <t>DALARNAS LÄN</t>
        </is>
      </c>
      <c r="E5646" t="inlineStr">
        <is>
          <t>BORLÄNGE</t>
        </is>
      </c>
      <c r="G5646" t="n">
        <v>5.6</v>
      </c>
      <c r="H5646" t="n">
        <v>0</v>
      </c>
      <c r="I5646" t="n">
        <v>0</v>
      </c>
      <c r="J5646" t="n">
        <v>0</v>
      </c>
      <c r="K5646" t="n">
        <v>0</v>
      </c>
      <c r="L5646" t="n">
        <v>0</v>
      </c>
      <c r="M5646" t="n">
        <v>0</v>
      </c>
      <c r="N5646" t="n">
        <v>0</v>
      </c>
      <c r="O5646" t="n">
        <v>0</v>
      </c>
      <c r="P5646" t="n">
        <v>0</v>
      </c>
      <c r="Q5646" t="n">
        <v>0</v>
      </c>
      <c r="R5646" s="2" t="inlineStr"/>
    </row>
    <row r="5647" ht="15" customHeight="1">
      <c r="A5647" t="inlineStr">
        <is>
          <t>A 24126-2023</t>
        </is>
      </c>
      <c r="B5647" s="1" t="n">
        <v>45079</v>
      </c>
      <c r="C5647" s="1" t="n">
        <v>45210</v>
      </c>
      <c r="D5647" t="inlineStr">
        <is>
          <t>DALARNAS LÄN</t>
        </is>
      </c>
      <c r="E5647" t="inlineStr">
        <is>
          <t>ORSA</t>
        </is>
      </c>
      <c r="F5647" t="inlineStr">
        <is>
          <t>Allmännings- och besparingsskogar</t>
        </is>
      </c>
      <c r="G5647" t="n">
        <v>1.6</v>
      </c>
      <c r="H5647" t="n">
        <v>0</v>
      </c>
      <c r="I5647" t="n">
        <v>0</v>
      </c>
      <c r="J5647" t="n">
        <v>0</v>
      </c>
      <c r="K5647" t="n">
        <v>0</v>
      </c>
      <c r="L5647" t="n">
        <v>0</v>
      </c>
      <c r="M5647" t="n">
        <v>0</v>
      </c>
      <c r="N5647" t="n">
        <v>0</v>
      </c>
      <c r="O5647" t="n">
        <v>0</v>
      </c>
      <c r="P5647" t="n">
        <v>0</v>
      </c>
      <c r="Q5647" t="n">
        <v>0</v>
      </c>
      <c r="R5647" s="2" t="inlineStr"/>
    </row>
    <row r="5648" ht="15" customHeight="1">
      <c r="A5648" t="inlineStr">
        <is>
          <t>A 24224-2023</t>
        </is>
      </c>
      <c r="B5648" s="1" t="n">
        <v>45079</v>
      </c>
      <c r="C5648" s="1" t="n">
        <v>45210</v>
      </c>
      <c r="D5648" t="inlineStr">
        <is>
          <t>DALARNAS LÄN</t>
        </is>
      </c>
      <c r="E5648" t="inlineStr">
        <is>
          <t>LUDVIKA</t>
        </is>
      </c>
      <c r="F5648" t="inlineStr">
        <is>
          <t>Bergvik skog väst AB</t>
        </is>
      </c>
      <c r="G5648" t="n">
        <v>12.1</v>
      </c>
      <c r="H5648" t="n">
        <v>0</v>
      </c>
      <c r="I5648" t="n">
        <v>0</v>
      </c>
      <c r="J5648" t="n">
        <v>0</v>
      </c>
      <c r="K5648" t="n">
        <v>0</v>
      </c>
      <c r="L5648" t="n">
        <v>0</v>
      </c>
      <c r="M5648" t="n">
        <v>0</v>
      </c>
      <c r="N5648" t="n">
        <v>0</v>
      </c>
      <c r="O5648" t="n">
        <v>0</v>
      </c>
      <c r="P5648" t="n">
        <v>0</v>
      </c>
      <c r="Q5648" t="n">
        <v>0</v>
      </c>
      <c r="R5648" s="2" t="inlineStr"/>
    </row>
    <row r="5649" ht="15" customHeight="1">
      <c r="A5649" t="inlineStr">
        <is>
          <t>A 25200-2023</t>
        </is>
      </c>
      <c r="B5649" s="1" t="n">
        <v>45079</v>
      </c>
      <c r="C5649" s="1" t="n">
        <v>45210</v>
      </c>
      <c r="D5649" t="inlineStr">
        <is>
          <t>DALARNAS LÄN</t>
        </is>
      </c>
      <c r="E5649" t="inlineStr">
        <is>
          <t>MORA</t>
        </is>
      </c>
      <c r="G5649" t="n">
        <v>11.2</v>
      </c>
      <c r="H5649" t="n">
        <v>0</v>
      </c>
      <c r="I5649" t="n">
        <v>0</v>
      </c>
      <c r="J5649" t="n">
        <v>0</v>
      </c>
      <c r="K5649" t="n">
        <v>0</v>
      </c>
      <c r="L5649" t="n">
        <v>0</v>
      </c>
      <c r="M5649" t="n">
        <v>0</v>
      </c>
      <c r="N5649" t="n">
        <v>0</v>
      </c>
      <c r="O5649" t="n">
        <v>0</v>
      </c>
      <c r="P5649" t="n">
        <v>0</v>
      </c>
      <c r="Q5649" t="n">
        <v>0</v>
      </c>
      <c r="R5649" s="2" t="inlineStr"/>
    </row>
    <row r="5650" ht="15" customHeight="1">
      <c r="A5650" t="inlineStr">
        <is>
          <t>A 24215-2023</t>
        </is>
      </c>
      <c r="B5650" s="1" t="n">
        <v>45079</v>
      </c>
      <c r="C5650" s="1" t="n">
        <v>45210</v>
      </c>
      <c r="D5650" t="inlineStr">
        <is>
          <t>DALARNAS LÄN</t>
        </is>
      </c>
      <c r="E5650" t="inlineStr">
        <is>
          <t>MALUNG-SÄLEN</t>
        </is>
      </c>
      <c r="F5650" t="inlineStr">
        <is>
          <t>Bergvik skog öst AB</t>
        </is>
      </c>
      <c r="G5650" t="n">
        <v>3.2</v>
      </c>
      <c r="H5650" t="n">
        <v>0</v>
      </c>
      <c r="I5650" t="n">
        <v>0</v>
      </c>
      <c r="J5650" t="n">
        <v>0</v>
      </c>
      <c r="K5650" t="n">
        <v>0</v>
      </c>
      <c r="L5650" t="n">
        <v>0</v>
      </c>
      <c r="M5650" t="n">
        <v>0</v>
      </c>
      <c r="N5650" t="n">
        <v>0</v>
      </c>
      <c r="O5650" t="n">
        <v>0</v>
      </c>
      <c r="P5650" t="n">
        <v>0</v>
      </c>
      <c r="Q5650" t="n">
        <v>0</v>
      </c>
      <c r="R5650" s="2" t="inlineStr"/>
    </row>
    <row r="5651" ht="15" customHeight="1">
      <c r="A5651" t="inlineStr">
        <is>
          <t>A 24261-2023</t>
        </is>
      </c>
      <c r="B5651" s="1" t="n">
        <v>45079</v>
      </c>
      <c r="C5651" s="1" t="n">
        <v>45210</v>
      </c>
      <c r="D5651" t="inlineStr">
        <is>
          <t>DALARNAS LÄN</t>
        </is>
      </c>
      <c r="E5651" t="inlineStr">
        <is>
          <t>SMEDJEBACKEN</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24282-2023</t>
        </is>
      </c>
      <c r="B5652" s="1" t="n">
        <v>45079</v>
      </c>
      <c r="C5652" s="1" t="n">
        <v>45210</v>
      </c>
      <c r="D5652" t="inlineStr">
        <is>
          <t>DALARNAS LÄN</t>
        </is>
      </c>
      <c r="E5652" t="inlineStr">
        <is>
          <t>ORSA</t>
        </is>
      </c>
      <c r="F5652" t="inlineStr">
        <is>
          <t>Allmännings- och besparingsskogar</t>
        </is>
      </c>
      <c r="G5652" t="n">
        <v>2.8</v>
      </c>
      <c r="H5652" t="n">
        <v>0</v>
      </c>
      <c r="I5652" t="n">
        <v>0</v>
      </c>
      <c r="J5652" t="n">
        <v>0</v>
      </c>
      <c r="K5652" t="n">
        <v>0</v>
      </c>
      <c r="L5652" t="n">
        <v>0</v>
      </c>
      <c r="M5652" t="n">
        <v>0</v>
      </c>
      <c r="N5652" t="n">
        <v>0</v>
      </c>
      <c r="O5652" t="n">
        <v>0</v>
      </c>
      <c r="P5652" t="n">
        <v>0</v>
      </c>
      <c r="Q5652" t="n">
        <v>0</v>
      </c>
      <c r="R5652" s="2" t="inlineStr"/>
    </row>
    <row r="5653" ht="15" customHeight="1">
      <c r="A5653" t="inlineStr">
        <is>
          <t>A 24417-2023</t>
        </is>
      </c>
      <c r="B5653" s="1" t="n">
        <v>45082</v>
      </c>
      <c r="C5653" s="1" t="n">
        <v>45210</v>
      </c>
      <c r="D5653" t="inlineStr">
        <is>
          <t>DALARNAS LÄN</t>
        </is>
      </c>
      <c r="E5653" t="inlineStr">
        <is>
          <t>SMEDJEBACKEN</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24498-2023</t>
        </is>
      </c>
      <c r="B5654" s="1" t="n">
        <v>45082</v>
      </c>
      <c r="C5654" s="1" t="n">
        <v>45210</v>
      </c>
      <c r="D5654" t="inlineStr">
        <is>
          <t>DALARNAS LÄN</t>
        </is>
      </c>
      <c r="E5654" t="inlineStr">
        <is>
          <t>VANSBRO</t>
        </is>
      </c>
      <c r="G5654" t="n">
        <v>14.9</v>
      </c>
      <c r="H5654" t="n">
        <v>0</v>
      </c>
      <c r="I5654" t="n">
        <v>0</v>
      </c>
      <c r="J5654" t="n">
        <v>0</v>
      </c>
      <c r="K5654" t="n">
        <v>0</v>
      </c>
      <c r="L5654" t="n">
        <v>0</v>
      </c>
      <c r="M5654" t="n">
        <v>0</v>
      </c>
      <c r="N5654" t="n">
        <v>0</v>
      </c>
      <c r="O5654" t="n">
        <v>0</v>
      </c>
      <c r="P5654" t="n">
        <v>0</v>
      </c>
      <c r="Q5654" t="n">
        <v>0</v>
      </c>
      <c r="R5654" s="2" t="inlineStr"/>
    </row>
    <row r="5655" ht="15" customHeight="1">
      <c r="A5655" t="inlineStr">
        <is>
          <t>A 24379-2023</t>
        </is>
      </c>
      <c r="B5655" s="1" t="n">
        <v>45082</v>
      </c>
      <c r="C5655" s="1" t="n">
        <v>45210</v>
      </c>
      <c r="D5655" t="inlineStr">
        <is>
          <t>DALARNAS LÄN</t>
        </is>
      </c>
      <c r="E5655" t="inlineStr">
        <is>
          <t>LUDVIKA</t>
        </is>
      </c>
      <c r="F5655" t="inlineStr">
        <is>
          <t>Naturvårdsverket</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25445-2023</t>
        </is>
      </c>
      <c r="B5656" s="1" t="n">
        <v>45082</v>
      </c>
      <c r="C5656" s="1" t="n">
        <v>45210</v>
      </c>
      <c r="D5656" t="inlineStr">
        <is>
          <t>DALARNAS LÄN</t>
        </is>
      </c>
      <c r="E5656" t="inlineStr">
        <is>
          <t>AVESTA</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24369-2023</t>
        </is>
      </c>
      <c r="B5657" s="1" t="n">
        <v>45082</v>
      </c>
      <c r="C5657" s="1" t="n">
        <v>45210</v>
      </c>
      <c r="D5657" t="inlineStr">
        <is>
          <t>DALARNAS LÄN</t>
        </is>
      </c>
      <c r="E5657" t="inlineStr">
        <is>
          <t>ÄLVDALEN</t>
        </is>
      </c>
      <c r="F5657" t="inlineStr">
        <is>
          <t>Allmännings- och besparingsskogar</t>
        </is>
      </c>
      <c r="G5657" t="n">
        <v>5.4</v>
      </c>
      <c r="H5657" t="n">
        <v>0</v>
      </c>
      <c r="I5657" t="n">
        <v>0</v>
      </c>
      <c r="J5657" t="n">
        <v>0</v>
      </c>
      <c r="K5657" t="n">
        <v>0</v>
      </c>
      <c r="L5657" t="n">
        <v>0</v>
      </c>
      <c r="M5657" t="n">
        <v>0</v>
      </c>
      <c r="N5657" t="n">
        <v>0</v>
      </c>
      <c r="O5657" t="n">
        <v>0</v>
      </c>
      <c r="P5657" t="n">
        <v>0</v>
      </c>
      <c r="Q5657" t="n">
        <v>0</v>
      </c>
      <c r="R5657" s="2" t="inlineStr"/>
    </row>
    <row r="5658" ht="15" customHeight="1">
      <c r="A5658" t="inlineStr">
        <is>
          <t>A 24481-2023</t>
        </is>
      </c>
      <c r="B5658" s="1" t="n">
        <v>45082</v>
      </c>
      <c r="C5658" s="1" t="n">
        <v>45210</v>
      </c>
      <c r="D5658" t="inlineStr">
        <is>
          <t>DALARNAS LÄN</t>
        </is>
      </c>
      <c r="E5658" t="inlineStr">
        <is>
          <t>VANSBRO</t>
        </is>
      </c>
      <c r="F5658" t="inlineStr">
        <is>
          <t>Bergvik skog väst AB</t>
        </is>
      </c>
      <c r="G5658" t="n">
        <v>1</v>
      </c>
      <c r="H5658" t="n">
        <v>0</v>
      </c>
      <c r="I5658" t="n">
        <v>0</v>
      </c>
      <c r="J5658" t="n">
        <v>0</v>
      </c>
      <c r="K5658" t="n">
        <v>0</v>
      </c>
      <c r="L5658" t="n">
        <v>0</v>
      </c>
      <c r="M5658" t="n">
        <v>0</v>
      </c>
      <c r="N5658" t="n">
        <v>0</v>
      </c>
      <c r="O5658" t="n">
        <v>0</v>
      </c>
      <c r="P5658" t="n">
        <v>0</v>
      </c>
      <c r="Q5658" t="n">
        <v>0</v>
      </c>
      <c r="R5658" s="2" t="inlineStr"/>
    </row>
    <row r="5659" ht="15" customHeight="1">
      <c r="A5659" t="inlineStr">
        <is>
          <t>A 24469-2023</t>
        </is>
      </c>
      <c r="B5659" s="1" t="n">
        <v>45082</v>
      </c>
      <c r="C5659" s="1" t="n">
        <v>45210</v>
      </c>
      <c r="D5659" t="inlineStr">
        <is>
          <t>DALARNAS LÄN</t>
        </is>
      </c>
      <c r="E5659" t="inlineStr">
        <is>
          <t>LUDVIKA</t>
        </is>
      </c>
      <c r="F5659" t="inlineStr">
        <is>
          <t>Naturvårdsverket</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25463-2023</t>
        </is>
      </c>
      <c r="B5660" s="1" t="n">
        <v>45082</v>
      </c>
      <c r="C5660" s="1" t="n">
        <v>45210</v>
      </c>
      <c r="D5660" t="inlineStr">
        <is>
          <t>DALARNAS LÄN</t>
        </is>
      </c>
      <c r="E5660" t="inlineStr">
        <is>
          <t>AVESTA</t>
        </is>
      </c>
      <c r="G5660" t="n">
        <v>1.5</v>
      </c>
      <c r="H5660" t="n">
        <v>0</v>
      </c>
      <c r="I5660" t="n">
        <v>0</v>
      </c>
      <c r="J5660" t="n">
        <v>0</v>
      </c>
      <c r="K5660" t="n">
        <v>0</v>
      </c>
      <c r="L5660" t="n">
        <v>0</v>
      </c>
      <c r="M5660" t="n">
        <v>0</v>
      </c>
      <c r="N5660" t="n">
        <v>0</v>
      </c>
      <c r="O5660" t="n">
        <v>0</v>
      </c>
      <c r="P5660" t="n">
        <v>0</v>
      </c>
      <c r="Q5660" t="n">
        <v>0</v>
      </c>
      <c r="R5660" s="2" t="inlineStr"/>
    </row>
    <row r="5661" ht="15" customHeight="1">
      <c r="A5661" t="inlineStr">
        <is>
          <t>A 24569-2023</t>
        </is>
      </c>
      <c r="B5661" s="1" t="n">
        <v>45083</v>
      </c>
      <c r="C5661" s="1" t="n">
        <v>45210</v>
      </c>
      <c r="D5661" t="inlineStr">
        <is>
          <t>DALARNAS LÄN</t>
        </is>
      </c>
      <c r="E5661" t="inlineStr">
        <is>
          <t>HEDEMORA</t>
        </is>
      </c>
      <c r="F5661" t="inlineStr">
        <is>
          <t>Sveaskog</t>
        </is>
      </c>
      <c r="G5661" t="n">
        <v>34.6</v>
      </c>
      <c r="H5661" t="n">
        <v>0</v>
      </c>
      <c r="I5661" t="n">
        <v>0</v>
      </c>
      <c r="J5661" t="n">
        <v>0</v>
      </c>
      <c r="K5661" t="n">
        <v>0</v>
      </c>
      <c r="L5661" t="n">
        <v>0</v>
      </c>
      <c r="M5661" t="n">
        <v>0</v>
      </c>
      <c r="N5661" t="n">
        <v>0</v>
      </c>
      <c r="O5661" t="n">
        <v>0</v>
      </c>
      <c r="P5661" t="n">
        <v>0</v>
      </c>
      <c r="Q5661" t="n">
        <v>0</v>
      </c>
      <c r="R5661" s="2" t="inlineStr"/>
    </row>
    <row r="5662" ht="15" customHeight="1">
      <c r="A5662" t="inlineStr">
        <is>
          <t>A 24615-2023</t>
        </is>
      </c>
      <c r="B5662" s="1" t="n">
        <v>45084</v>
      </c>
      <c r="C5662" s="1" t="n">
        <v>45210</v>
      </c>
      <c r="D5662" t="inlineStr">
        <is>
          <t>DALARNAS LÄN</t>
        </is>
      </c>
      <c r="E5662" t="inlineStr">
        <is>
          <t>ÄLVDALEN</t>
        </is>
      </c>
      <c r="G5662" t="n">
        <v>9.6</v>
      </c>
      <c r="H5662" t="n">
        <v>0</v>
      </c>
      <c r="I5662" t="n">
        <v>0</v>
      </c>
      <c r="J5662" t="n">
        <v>0</v>
      </c>
      <c r="K5662" t="n">
        <v>0</v>
      </c>
      <c r="L5662" t="n">
        <v>0</v>
      </c>
      <c r="M5662" t="n">
        <v>0</v>
      </c>
      <c r="N5662" t="n">
        <v>0</v>
      </c>
      <c r="O5662" t="n">
        <v>0</v>
      </c>
      <c r="P5662" t="n">
        <v>0</v>
      </c>
      <c r="Q5662" t="n">
        <v>0</v>
      </c>
      <c r="R5662" s="2" t="inlineStr"/>
    </row>
    <row r="5663" ht="15" customHeight="1">
      <c r="A5663" t="inlineStr">
        <is>
          <t>A 24657-2023</t>
        </is>
      </c>
      <c r="B5663" s="1" t="n">
        <v>45084</v>
      </c>
      <c r="C5663" s="1" t="n">
        <v>45210</v>
      </c>
      <c r="D5663" t="inlineStr">
        <is>
          <t>DALARNAS LÄN</t>
        </is>
      </c>
      <c r="E5663" t="inlineStr">
        <is>
          <t>MORA</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24706-2023</t>
        </is>
      </c>
      <c r="B5664" s="1" t="n">
        <v>45084</v>
      </c>
      <c r="C5664" s="1" t="n">
        <v>45210</v>
      </c>
      <c r="D5664" t="inlineStr">
        <is>
          <t>DALARNAS LÄN</t>
        </is>
      </c>
      <c r="E5664" t="inlineStr">
        <is>
          <t>MALUNG-SÄLEN</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24718-2023</t>
        </is>
      </c>
      <c r="B5665" s="1" t="n">
        <v>45084</v>
      </c>
      <c r="C5665" s="1" t="n">
        <v>45210</v>
      </c>
      <c r="D5665" t="inlineStr">
        <is>
          <t>DALARNAS LÄN</t>
        </is>
      </c>
      <c r="E5665" t="inlineStr">
        <is>
          <t>ÄLVDALEN</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24823-2023</t>
        </is>
      </c>
      <c r="B5666" s="1" t="n">
        <v>45084</v>
      </c>
      <c r="C5666" s="1" t="n">
        <v>45210</v>
      </c>
      <c r="D5666" t="inlineStr">
        <is>
          <t>DALARNAS LÄN</t>
        </is>
      </c>
      <c r="E5666" t="inlineStr">
        <is>
          <t>LEKSAND</t>
        </is>
      </c>
      <c r="G5666" t="n">
        <v>2.9</v>
      </c>
      <c r="H5666" t="n">
        <v>0</v>
      </c>
      <c r="I5666" t="n">
        <v>0</v>
      </c>
      <c r="J5666" t="n">
        <v>0</v>
      </c>
      <c r="K5666" t="n">
        <v>0</v>
      </c>
      <c r="L5666" t="n">
        <v>0</v>
      </c>
      <c r="M5666" t="n">
        <v>0</v>
      </c>
      <c r="N5666" t="n">
        <v>0</v>
      </c>
      <c r="O5666" t="n">
        <v>0</v>
      </c>
      <c r="P5666" t="n">
        <v>0</v>
      </c>
      <c r="Q5666" t="n">
        <v>0</v>
      </c>
      <c r="R5666" s="2" t="inlineStr"/>
    </row>
    <row r="5667" ht="15" customHeight="1">
      <c r="A5667" t="inlineStr">
        <is>
          <t>A 24619-2023</t>
        </is>
      </c>
      <c r="B5667" s="1" t="n">
        <v>45084</v>
      </c>
      <c r="C5667" s="1" t="n">
        <v>45210</v>
      </c>
      <c r="D5667" t="inlineStr">
        <is>
          <t>DALARNAS LÄN</t>
        </is>
      </c>
      <c r="E5667" t="inlineStr">
        <is>
          <t>RÄTTVIK</t>
        </is>
      </c>
      <c r="G5667" t="n">
        <v>1.5</v>
      </c>
      <c r="H5667" t="n">
        <v>0</v>
      </c>
      <c r="I5667" t="n">
        <v>0</v>
      </c>
      <c r="J5667" t="n">
        <v>0</v>
      </c>
      <c r="K5667" t="n">
        <v>0</v>
      </c>
      <c r="L5667" t="n">
        <v>0</v>
      </c>
      <c r="M5667" t="n">
        <v>0</v>
      </c>
      <c r="N5667" t="n">
        <v>0</v>
      </c>
      <c r="O5667" t="n">
        <v>0</v>
      </c>
      <c r="P5667" t="n">
        <v>0</v>
      </c>
      <c r="Q5667" t="n">
        <v>0</v>
      </c>
      <c r="R5667" s="2" t="inlineStr"/>
    </row>
    <row r="5668" ht="15" customHeight="1">
      <c r="A5668" t="inlineStr">
        <is>
          <t>A 24637-2023</t>
        </is>
      </c>
      <c r="B5668" s="1" t="n">
        <v>45084</v>
      </c>
      <c r="C5668" s="1" t="n">
        <v>45210</v>
      </c>
      <c r="D5668" t="inlineStr">
        <is>
          <t>DALARNAS LÄN</t>
        </is>
      </c>
      <c r="E5668" t="inlineStr">
        <is>
          <t>MALUNG-SÄLEN</t>
        </is>
      </c>
      <c r="F5668" t="inlineStr">
        <is>
          <t>Bergvik skog öst AB</t>
        </is>
      </c>
      <c r="G5668" t="n">
        <v>1.9</v>
      </c>
      <c r="H5668" t="n">
        <v>0</v>
      </c>
      <c r="I5668" t="n">
        <v>0</v>
      </c>
      <c r="J5668" t="n">
        <v>0</v>
      </c>
      <c r="K5668" t="n">
        <v>0</v>
      </c>
      <c r="L5668" t="n">
        <v>0</v>
      </c>
      <c r="M5668" t="n">
        <v>0</v>
      </c>
      <c r="N5668" t="n">
        <v>0</v>
      </c>
      <c r="O5668" t="n">
        <v>0</v>
      </c>
      <c r="P5668" t="n">
        <v>0</v>
      </c>
      <c r="Q5668" t="n">
        <v>0</v>
      </c>
      <c r="R5668" s="2" t="inlineStr"/>
    </row>
    <row r="5669" ht="15" customHeight="1">
      <c r="A5669" t="inlineStr">
        <is>
          <t>A 24814-2023</t>
        </is>
      </c>
      <c r="B5669" s="1" t="n">
        <v>45084</v>
      </c>
      <c r="C5669" s="1" t="n">
        <v>45210</v>
      </c>
      <c r="D5669" t="inlineStr">
        <is>
          <t>DALARNAS LÄN</t>
        </is>
      </c>
      <c r="E5669" t="inlineStr">
        <is>
          <t>LEKSAND</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25743-2023</t>
        </is>
      </c>
      <c r="B5670" s="1" t="n">
        <v>45084</v>
      </c>
      <c r="C5670" s="1" t="n">
        <v>45210</v>
      </c>
      <c r="D5670" t="inlineStr">
        <is>
          <t>DALARNAS LÄN</t>
        </is>
      </c>
      <c r="E5670" t="inlineStr">
        <is>
          <t>AVESTA</t>
        </is>
      </c>
      <c r="G5670" t="n">
        <v>3.1</v>
      </c>
      <c r="H5670" t="n">
        <v>0</v>
      </c>
      <c r="I5670" t="n">
        <v>0</v>
      </c>
      <c r="J5670" t="n">
        <v>0</v>
      </c>
      <c r="K5670" t="n">
        <v>0</v>
      </c>
      <c r="L5670" t="n">
        <v>0</v>
      </c>
      <c r="M5670" t="n">
        <v>0</v>
      </c>
      <c r="N5670" t="n">
        <v>0</v>
      </c>
      <c r="O5670" t="n">
        <v>0</v>
      </c>
      <c r="P5670" t="n">
        <v>0</v>
      </c>
      <c r="Q5670" t="n">
        <v>0</v>
      </c>
      <c r="R5670" s="2" t="inlineStr"/>
    </row>
    <row r="5671" ht="15" customHeight="1">
      <c r="A5671" t="inlineStr">
        <is>
          <t>A 24859-2023</t>
        </is>
      </c>
      <c r="B5671" s="1" t="n">
        <v>45085</v>
      </c>
      <c r="C5671" s="1" t="n">
        <v>45210</v>
      </c>
      <c r="D5671" t="inlineStr">
        <is>
          <t>DALARNAS LÄN</t>
        </is>
      </c>
      <c r="E5671" t="inlineStr">
        <is>
          <t>ÄLVDALEN</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24979-2023</t>
        </is>
      </c>
      <c r="B5672" s="1" t="n">
        <v>45085</v>
      </c>
      <c r="C5672" s="1" t="n">
        <v>45210</v>
      </c>
      <c r="D5672" t="inlineStr">
        <is>
          <t>DALARNAS LÄN</t>
        </is>
      </c>
      <c r="E5672" t="inlineStr">
        <is>
          <t>VANSBRO</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24972-2023</t>
        </is>
      </c>
      <c r="B5673" s="1" t="n">
        <v>45085</v>
      </c>
      <c r="C5673" s="1" t="n">
        <v>45210</v>
      </c>
      <c r="D5673" t="inlineStr">
        <is>
          <t>DALARNAS LÄN</t>
        </is>
      </c>
      <c r="E5673" t="inlineStr">
        <is>
          <t>VANSBRO</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25038-2023</t>
        </is>
      </c>
      <c r="B5674" s="1" t="n">
        <v>45085</v>
      </c>
      <c r="C5674" s="1" t="n">
        <v>45210</v>
      </c>
      <c r="D5674" t="inlineStr">
        <is>
          <t>DALARNAS LÄN</t>
        </is>
      </c>
      <c r="E5674" t="inlineStr">
        <is>
          <t>LEKSAND</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25024-2023</t>
        </is>
      </c>
      <c r="B5675" s="1" t="n">
        <v>45085</v>
      </c>
      <c r="C5675" s="1" t="n">
        <v>45210</v>
      </c>
      <c r="D5675" t="inlineStr">
        <is>
          <t>DALARNAS LÄN</t>
        </is>
      </c>
      <c r="E5675" t="inlineStr">
        <is>
          <t>GAGNEF</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24864-2023</t>
        </is>
      </c>
      <c r="B5676" s="1" t="n">
        <v>45085</v>
      </c>
      <c r="C5676" s="1" t="n">
        <v>45210</v>
      </c>
      <c r="D5676" t="inlineStr">
        <is>
          <t>DALARNAS LÄN</t>
        </is>
      </c>
      <c r="E5676" t="inlineStr">
        <is>
          <t>HEDEMORA</t>
        </is>
      </c>
      <c r="G5676" t="n">
        <v>13.2</v>
      </c>
      <c r="H5676" t="n">
        <v>0</v>
      </c>
      <c r="I5676" t="n">
        <v>0</v>
      </c>
      <c r="J5676" t="n">
        <v>0</v>
      </c>
      <c r="K5676" t="n">
        <v>0</v>
      </c>
      <c r="L5676" t="n">
        <v>0</v>
      </c>
      <c r="M5676" t="n">
        <v>0</v>
      </c>
      <c r="N5676" t="n">
        <v>0</v>
      </c>
      <c r="O5676" t="n">
        <v>0</v>
      </c>
      <c r="P5676" t="n">
        <v>0</v>
      </c>
      <c r="Q5676" t="n">
        <v>0</v>
      </c>
      <c r="R5676" s="2" t="inlineStr"/>
    </row>
    <row r="5677" ht="15" customHeight="1">
      <c r="A5677" t="inlineStr">
        <is>
          <t>A 24934-2023</t>
        </is>
      </c>
      <c r="B5677" s="1" t="n">
        <v>45085</v>
      </c>
      <c r="C5677" s="1" t="n">
        <v>45210</v>
      </c>
      <c r="D5677" t="inlineStr">
        <is>
          <t>DALARNAS LÄN</t>
        </is>
      </c>
      <c r="E5677" t="inlineStr">
        <is>
          <t>ÄLVDALEN</t>
        </is>
      </c>
      <c r="G5677" t="n">
        <v>0.7</v>
      </c>
      <c r="H5677" t="n">
        <v>0</v>
      </c>
      <c r="I5677" t="n">
        <v>0</v>
      </c>
      <c r="J5677" t="n">
        <v>0</v>
      </c>
      <c r="K5677" t="n">
        <v>0</v>
      </c>
      <c r="L5677" t="n">
        <v>0</v>
      </c>
      <c r="M5677" t="n">
        <v>0</v>
      </c>
      <c r="N5677" t="n">
        <v>0</v>
      </c>
      <c r="O5677" t="n">
        <v>0</v>
      </c>
      <c r="P5677" t="n">
        <v>0</v>
      </c>
      <c r="Q5677" t="n">
        <v>0</v>
      </c>
      <c r="R5677" s="2" t="inlineStr"/>
    </row>
    <row r="5678" ht="15" customHeight="1">
      <c r="A5678" t="inlineStr">
        <is>
          <t>A 24982-2023</t>
        </is>
      </c>
      <c r="B5678" s="1" t="n">
        <v>45085</v>
      </c>
      <c r="C5678" s="1" t="n">
        <v>45210</v>
      </c>
      <c r="D5678" t="inlineStr">
        <is>
          <t>DALARNAS LÄN</t>
        </is>
      </c>
      <c r="E5678" t="inlineStr">
        <is>
          <t>VANSBRO</t>
        </is>
      </c>
      <c r="G5678" t="n">
        <v>1.1</v>
      </c>
      <c r="H5678" t="n">
        <v>0</v>
      </c>
      <c r="I5678" t="n">
        <v>0</v>
      </c>
      <c r="J5678" t="n">
        <v>0</v>
      </c>
      <c r="K5678" t="n">
        <v>0</v>
      </c>
      <c r="L5678" t="n">
        <v>0</v>
      </c>
      <c r="M5678" t="n">
        <v>0</v>
      </c>
      <c r="N5678" t="n">
        <v>0</v>
      </c>
      <c r="O5678" t="n">
        <v>0</v>
      </c>
      <c r="P5678" t="n">
        <v>0</v>
      </c>
      <c r="Q5678" t="n">
        <v>0</v>
      </c>
      <c r="R5678" s="2" t="inlineStr"/>
    </row>
    <row r="5679" ht="15" customHeight="1">
      <c r="A5679" t="inlineStr">
        <is>
          <t>A 25891-2023</t>
        </is>
      </c>
      <c r="B5679" s="1" t="n">
        <v>45085</v>
      </c>
      <c r="C5679" s="1" t="n">
        <v>45210</v>
      </c>
      <c r="D5679" t="inlineStr">
        <is>
          <t>DALARNAS LÄN</t>
        </is>
      </c>
      <c r="E5679" t="inlineStr">
        <is>
          <t>RÄTTVIK</t>
        </is>
      </c>
      <c r="G5679" t="n">
        <v>0.8</v>
      </c>
      <c r="H5679" t="n">
        <v>0</v>
      </c>
      <c r="I5679" t="n">
        <v>0</v>
      </c>
      <c r="J5679" t="n">
        <v>0</v>
      </c>
      <c r="K5679" t="n">
        <v>0</v>
      </c>
      <c r="L5679" t="n">
        <v>0</v>
      </c>
      <c r="M5679" t="n">
        <v>0</v>
      </c>
      <c r="N5679" t="n">
        <v>0</v>
      </c>
      <c r="O5679" t="n">
        <v>0</v>
      </c>
      <c r="P5679" t="n">
        <v>0</v>
      </c>
      <c r="Q5679" t="n">
        <v>0</v>
      </c>
      <c r="R5679" s="2" t="inlineStr"/>
    </row>
    <row r="5680" ht="15" customHeight="1">
      <c r="A5680" t="inlineStr">
        <is>
          <t>A 25150-2023</t>
        </is>
      </c>
      <c r="B5680" s="1" t="n">
        <v>45086</v>
      </c>
      <c r="C5680" s="1" t="n">
        <v>45210</v>
      </c>
      <c r="D5680" t="inlineStr">
        <is>
          <t>DALARNAS LÄN</t>
        </is>
      </c>
      <c r="E5680" t="inlineStr">
        <is>
          <t>HEDEMORA</t>
        </is>
      </c>
      <c r="F5680" t="inlineStr">
        <is>
          <t>Sveaskog</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25155-2023</t>
        </is>
      </c>
      <c r="B5681" s="1" t="n">
        <v>45086</v>
      </c>
      <c r="C5681" s="1" t="n">
        <v>45210</v>
      </c>
      <c r="D5681" t="inlineStr">
        <is>
          <t>DALARNAS LÄN</t>
        </is>
      </c>
      <c r="E5681" t="inlineStr">
        <is>
          <t>HEDEMORA</t>
        </is>
      </c>
      <c r="F5681" t="inlineStr">
        <is>
          <t>Sveaskog</t>
        </is>
      </c>
      <c r="G5681" t="n">
        <v>3.8</v>
      </c>
      <c r="H5681" t="n">
        <v>0</v>
      </c>
      <c r="I5681" t="n">
        <v>0</v>
      </c>
      <c r="J5681" t="n">
        <v>0</v>
      </c>
      <c r="K5681" t="n">
        <v>0</v>
      </c>
      <c r="L5681" t="n">
        <v>0</v>
      </c>
      <c r="M5681" t="n">
        <v>0</v>
      </c>
      <c r="N5681" t="n">
        <v>0</v>
      </c>
      <c r="O5681" t="n">
        <v>0</v>
      </c>
      <c r="P5681" t="n">
        <v>0</v>
      </c>
      <c r="Q5681" t="n">
        <v>0</v>
      </c>
      <c r="R5681" s="2" t="inlineStr"/>
    </row>
    <row r="5682" ht="15" customHeight="1">
      <c r="A5682" t="inlineStr">
        <is>
          <t>A 25085-2023</t>
        </is>
      </c>
      <c r="B5682" s="1" t="n">
        <v>45086</v>
      </c>
      <c r="C5682" s="1" t="n">
        <v>45210</v>
      </c>
      <c r="D5682" t="inlineStr">
        <is>
          <t>DALARNAS LÄN</t>
        </is>
      </c>
      <c r="E5682" t="inlineStr">
        <is>
          <t>ÄLVDALEN</t>
        </is>
      </c>
      <c r="F5682" t="inlineStr">
        <is>
          <t>Sveaskog</t>
        </is>
      </c>
      <c r="G5682" t="n">
        <v>1</v>
      </c>
      <c r="H5682" t="n">
        <v>0</v>
      </c>
      <c r="I5682" t="n">
        <v>0</v>
      </c>
      <c r="J5682" t="n">
        <v>0</v>
      </c>
      <c r="K5682" t="n">
        <v>0</v>
      </c>
      <c r="L5682" t="n">
        <v>0</v>
      </c>
      <c r="M5682" t="n">
        <v>0</v>
      </c>
      <c r="N5682" t="n">
        <v>0</v>
      </c>
      <c r="O5682" t="n">
        <v>0</v>
      </c>
      <c r="P5682" t="n">
        <v>0</v>
      </c>
      <c r="Q5682" t="n">
        <v>0</v>
      </c>
      <c r="R5682" s="2" t="inlineStr"/>
    </row>
    <row r="5683" ht="15" customHeight="1">
      <c r="A5683" t="inlineStr">
        <is>
          <t>A 25127-2023</t>
        </is>
      </c>
      <c r="B5683" s="1" t="n">
        <v>45086</v>
      </c>
      <c r="C5683" s="1" t="n">
        <v>45210</v>
      </c>
      <c r="D5683" t="inlineStr">
        <is>
          <t>DALARNAS LÄN</t>
        </is>
      </c>
      <c r="E5683" t="inlineStr">
        <is>
          <t>VANSBRO</t>
        </is>
      </c>
      <c r="F5683" t="inlineStr">
        <is>
          <t>Bergvik skog väst AB</t>
        </is>
      </c>
      <c r="G5683" t="n">
        <v>5.8</v>
      </c>
      <c r="H5683" t="n">
        <v>0</v>
      </c>
      <c r="I5683" t="n">
        <v>0</v>
      </c>
      <c r="J5683" t="n">
        <v>0</v>
      </c>
      <c r="K5683" t="n">
        <v>0</v>
      </c>
      <c r="L5683" t="n">
        <v>0</v>
      </c>
      <c r="M5683" t="n">
        <v>0</v>
      </c>
      <c r="N5683" t="n">
        <v>0</v>
      </c>
      <c r="O5683" t="n">
        <v>0</v>
      </c>
      <c r="P5683" t="n">
        <v>0</v>
      </c>
      <c r="Q5683" t="n">
        <v>0</v>
      </c>
      <c r="R5683" s="2" t="inlineStr"/>
    </row>
    <row r="5684" ht="15" customHeight="1">
      <c r="A5684" t="inlineStr">
        <is>
          <t>A 25108-2023</t>
        </is>
      </c>
      <c r="B5684" s="1" t="n">
        <v>45086</v>
      </c>
      <c r="C5684" s="1" t="n">
        <v>45210</v>
      </c>
      <c r="D5684" t="inlineStr">
        <is>
          <t>DALARNAS LÄN</t>
        </is>
      </c>
      <c r="E5684" t="inlineStr">
        <is>
          <t>MALUNG-SÄLEN</t>
        </is>
      </c>
      <c r="F5684" t="inlineStr">
        <is>
          <t>Allmännings- och besparingsskogar</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26273-2023</t>
        </is>
      </c>
      <c r="B5685" s="1" t="n">
        <v>45086</v>
      </c>
      <c r="C5685" s="1" t="n">
        <v>45210</v>
      </c>
      <c r="D5685" t="inlineStr">
        <is>
          <t>DALARNAS LÄN</t>
        </is>
      </c>
      <c r="E5685" t="inlineStr">
        <is>
          <t>MORA</t>
        </is>
      </c>
      <c r="G5685" t="n">
        <v>3.9</v>
      </c>
      <c r="H5685" t="n">
        <v>0</v>
      </c>
      <c r="I5685" t="n">
        <v>0</v>
      </c>
      <c r="J5685" t="n">
        <v>0</v>
      </c>
      <c r="K5685" t="n">
        <v>0</v>
      </c>
      <c r="L5685" t="n">
        <v>0</v>
      </c>
      <c r="M5685" t="n">
        <v>0</v>
      </c>
      <c r="N5685" t="n">
        <v>0</v>
      </c>
      <c r="O5685" t="n">
        <v>0</v>
      </c>
      <c r="P5685" t="n">
        <v>0</v>
      </c>
      <c r="Q5685" t="n">
        <v>0</v>
      </c>
      <c r="R5685" s="2" t="inlineStr"/>
    </row>
    <row r="5686" ht="15" customHeight="1">
      <c r="A5686" t="inlineStr">
        <is>
          <t>A 25438-2023</t>
        </is>
      </c>
      <c r="B5686" s="1" t="n">
        <v>45089</v>
      </c>
      <c r="C5686" s="1" t="n">
        <v>45210</v>
      </c>
      <c r="D5686" t="inlineStr">
        <is>
          <t>DALARNAS LÄN</t>
        </is>
      </c>
      <c r="E5686" t="inlineStr">
        <is>
          <t>MALUNG-SÄLEN</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25441-2023</t>
        </is>
      </c>
      <c r="B5687" s="1" t="n">
        <v>45089</v>
      </c>
      <c r="C5687" s="1" t="n">
        <v>45210</v>
      </c>
      <c r="D5687" t="inlineStr">
        <is>
          <t>DALARNAS LÄN</t>
        </is>
      </c>
      <c r="E5687" t="inlineStr">
        <is>
          <t>MALUNG-SÄLEN</t>
        </is>
      </c>
      <c r="F5687" t="inlineStr">
        <is>
          <t>Bergvik skog öst AB</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25534-2023</t>
        </is>
      </c>
      <c r="B5688" s="1" t="n">
        <v>45089</v>
      </c>
      <c r="C5688" s="1" t="n">
        <v>45210</v>
      </c>
      <c r="D5688" t="inlineStr">
        <is>
          <t>DALARNAS LÄN</t>
        </is>
      </c>
      <c r="E5688" t="inlineStr">
        <is>
          <t>MALUNG-SÄLEN</t>
        </is>
      </c>
      <c r="G5688" t="n">
        <v>2.6</v>
      </c>
      <c r="H5688" t="n">
        <v>0</v>
      </c>
      <c r="I5688" t="n">
        <v>0</v>
      </c>
      <c r="J5688" t="n">
        <v>0</v>
      </c>
      <c r="K5688" t="n">
        <v>0</v>
      </c>
      <c r="L5688" t="n">
        <v>0</v>
      </c>
      <c r="M5688" t="n">
        <v>0</v>
      </c>
      <c r="N5688" t="n">
        <v>0</v>
      </c>
      <c r="O5688" t="n">
        <v>0</v>
      </c>
      <c r="P5688" t="n">
        <v>0</v>
      </c>
      <c r="Q5688" t="n">
        <v>0</v>
      </c>
      <c r="R5688" s="2" t="inlineStr"/>
    </row>
    <row r="5689" ht="15" customHeight="1">
      <c r="A5689" t="inlineStr">
        <is>
          <t>A 25606-2023</t>
        </is>
      </c>
      <c r="B5689" s="1" t="n">
        <v>45089</v>
      </c>
      <c r="C5689" s="1" t="n">
        <v>45210</v>
      </c>
      <c r="D5689" t="inlineStr">
        <is>
          <t>DALARNAS LÄN</t>
        </is>
      </c>
      <c r="E5689" t="inlineStr">
        <is>
          <t>GAGNEF</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25627-2023</t>
        </is>
      </c>
      <c r="B5690" s="1" t="n">
        <v>45089</v>
      </c>
      <c r="C5690" s="1" t="n">
        <v>45210</v>
      </c>
      <c r="D5690" t="inlineStr">
        <is>
          <t>DALARNAS LÄN</t>
        </is>
      </c>
      <c r="E5690" t="inlineStr">
        <is>
          <t>LEKSAND</t>
        </is>
      </c>
      <c r="F5690" t="inlineStr">
        <is>
          <t>Bergvik skog väst AB</t>
        </is>
      </c>
      <c r="G5690" t="n">
        <v>8.4</v>
      </c>
      <c r="H5690" t="n">
        <v>0</v>
      </c>
      <c r="I5690" t="n">
        <v>0</v>
      </c>
      <c r="J5690" t="n">
        <v>0</v>
      </c>
      <c r="K5690" t="n">
        <v>0</v>
      </c>
      <c r="L5690" t="n">
        <v>0</v>
      </c>
      <c r="M5690" t="n">
        <v>0</v>
      </c>
      <c r="N5690" t="n">
        <v>0</v>
      </c>
      <c r="O5690" t="n">
        <v>0</v>
      </c>
      <c r="P5690" t="n">
        <v>0</v>
      </c>
      <c r="Q5690" t="n">
        <v>0</v>
      </c>
      <c r="R5690" s="2" t="inlineStr"/>
    </row>
    <row r="5691" ht="15" customHeight="1">
      <c r="A5691" t="inlineStr">
        <is>
          <t>A 25652-2023</t>
        </is>
      </c>
      <c r="B5691" s="1" t="n">
        <v>45089</v>
      </c>
      <c r="C5691" s="1" t="n">
        <v>45210</v>
      </c>
      <c r="D5691" t="inlineStr">
        <is>
          <t>DALARNAS LÄN</t>
        </is>
      </c>
      <c r="E5691" t="inlineStr">
        <is>
          <t>LEKSAND</t>
        </is>
      </c>
      <c r="F5691" t="inlineStr">
        <is>
          <t>Bergvik skog väst AB</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25553-2023</t>
        </is>
      </c>
      <c r="B5692" s="1" t="n">
        <v>45089</v>
      </c>
      <c r="C5692" s="1" t="n">
        <v>45210</v>
      </c>
      <c r="D5692" t="inlineStr">
        <is>
          <t>DALARNAS LÄN</t>
        </is>
      </c>
      <c r="E5692" t="inlineStr">
        <is>
          <t>MALUNG-SÄLEN</t>
        </is>
      </c>
      <c r="F5692" t="inlineStr">
        <is>
          <t>Bergvik skog öst AB</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25573-2023</t>
        </is>
      </c>
      <c r="B5693" s="1" t="n">
        <v>45089</v>
      </c>
      <c r="C5693" s="1" t="n">
        <v>45210</v>
      </c>
      <c r="D5693" t="inlineStr">
        <is>
          <t>DALARNAS LÄN</t>
        </is>
      </c>
      <c r="E5693" t="inlineStr">
        <is>
          <t>SMEDJEBACKEN</t>
        </is>
      </c>
      <c r="G5693" t="n">
        <v>10.5</v>
      </c>
      <c r="H5693" t="n">
        <v>0</v>
      </c>
      <c r="I5693" t="n">
        <v>0</v>
      </c>
      <c r="J5693" t="n">
        <v>0</v>
      </c>
      <c r="K5693" t="n">
        <v>0</v>
      </c>
      <c r="L5693" t="n">
        <v>0</v>
      </c>
      <c r="M5693" t="n">
        <v>0</v>
      </c>
      <c r="N5693" t="n">
        <v>0</v>
      </c>
      <c r="O5693" t="n">
        <v>0</v>
      </c>
      <c r="P5693" t="n">
        <v>0</v>
      </c>
      <c r="Q5693" t="n">
        <v>0</v>
      </c>
      <c r="R5693" s="2" t="inlineStr"/>
    </row>
    <row r="5694" ht="15" customHeight="1">
      <c r="A5694" t="inlineStr">
        <is>
          <t>A 25637-2023</t>
        </is>
      </c>
      <c r="B5694" s="1" t="n">
        <v>45089</v>
      </c>
      <c r="C5694" s="1" t="n">
        <v>45210</v>
      </c>
      <c r="D5694" t="inlineStr">
        <is>
          <t>DALARNAS LÄN</t>
        </is>
      </c>
      <c r="E5694" t="inlineStr">
        <is>
          <t>LEKSAND</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25749-2023</t>
        </is>
      </c>
      <c r="B5695" s="1" t="n">
        <v>45090</v>
      </c>
      <c r="C5695" s="1" t="n">
        <v>45210</v>
      </c>
      <c r="D5695" t="inlineStr">
        <is>
          <t>DALARNAS LÄN</t>
        </is>
      </c>
      <c r="E5695" t="inlineStr">
        <is>
          <t>MORA</t>
        </is>
      </c>
      <c r="G5695" t="n">
        <v>2.4</v>
      </c>
      <c r="H5695" t="n">
        <v>0</v>
      </c>
      <c r="I5695" t="n">
        <v>0</v>
      </c>
      <c r="J5695" t="n">
        <v>0</v>
      </c>
      <c r="K5695" t="n">
        <v>0</v>
      </c>
      <c r="L5695" t="n">
        <v>0</v>
      </c>
      <c r="M5695" t="n">
        <v>0</v>
      </c>
      <c r="N5695" t="n">
        <v>0</v>
      </c>
      <c r="O5695" t="n">
        <v>0</v>
      </c>
      <c r="P5695" t="n">
        <v>0</v>
      </c>
      <c r="Q5695" t="n">
        <v>0</v>
      </c>
      <c r="R5695" s="2" t="inlineStr"/>
    </row>
    <row r="5696" ht="15" customHeight="1">
      <c r="A5696" t="inlineStr">
        <is>
          <t>A 25715-2023</t>
        </is>
      </c>
      <c r="B5696" s="1" t="n">
        <v>45090</v>
      </c>
      <c r="C5696" s="1" t="n">
        <v>45210</v>
      </c>
      <c r="D5696" t="inlineStr">
        <is>
          <t>DALARNAS LÄN</t>
        </is>
      </c>
      <c r="E5696" t="inlineStr">
        <is>
          <t>LEKSAND</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25950-2023</t>
        </is>
      </c>
      <c r="B5697" s="1" t="n">
        <v>45090</v>
      </c>
      <c r="C5697" s="1" t="n">
        <v>45210</v>
      </c>
      <c r="D5697" t="inlineStr">
        <is>
          <t>DALARNAS LÄN</t>
        </is>
      </c>
      <c r="E5697" t="inlineStr">
        <is>
          <t>FALUN</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25907-2023</t>
        </is>
      </c>
      <c r="B5698" s="1" t="n">
        <v>45090</v>
      </c>
      <c r="C5698" s="1" t="n">
        <v>45210</v>
      </c>
      <c r="D5698" t="inlineStr">
        <is>
          <t>DALARNAS LÄN</t>
        </is>
      </c>
      <c r="E5698" t="inlineStr">
        <is>
          <t>LEKSAND</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26771-2023</t>
        </is>
      </c>
      <c r="B5699" s="1" t="n">
        <v>45090</v>
      </c>
      <c r="C5699" s="1" t="n">
        <v>45210</v>
      </c>
      <c r="D5699" t="inlineStr">
        <is>
          <t>DALARNAS LÄN</t>
        </is>
      </c>
      <c r="E5699" t="inlineStr">
        <is>
          <t>RÄTTVIK</t>
        </is>
      </c>
      <c r="G5699" t="n">
        <v>1.2</v>
      </c>
      <c r="H5699" t="n">
        <v>0</v>
      </c>
      <c r="I5699" t="n">
        <v>0</v>
      </c>
      <c r="J5699" t="n">
        <v>0</v>
      </c>
      <c r="K5699" t="n">
        <v>0</v>
      </c>
      <c r="L5699" t="n">
        <v>0</v>
      </c>
      <c r="M5699" t="n">
        <v>0</v>
      </c>
      <c r="N5699" t="n">
        <v>0</v>
      </c>
      <c r="O5699" t="n">
        <v>0</v>
      </c>
      <c r="P5699" t="n">
        <v>0</v>
      </c>
      <c r="Q5699" t="n">
        <v>0</v>
      </c>
      <c r="R5699" s="2" t="inlineStr"/>
    </row>
    <row r="5700" ht="15" customHeight="1">
      <c r="A5700" t="inlineStr">
        <is>
          <t>A 26813-2023</t>
        </is>
      </c>
      <c r="B5700" s="1" t="n">
        <v>45090</v>
      </c>
      <c r="C5700" s="1" t="n">
        <v>45210</v>
      </c>
      <c r="D5700" t="inlineStr">
        <is>
          <t>DALARNAS LÄN</t>
        </is>
      </c>
      <c r="E5700" t="inlineStr">
        <is>
          <t>MALUNG-SÄLEN</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26742-2023</t>
        </is>
      </c>
      <c r="B5701" s="1" t="n">
        <v>45090</v>
      </c>
      <c r="C5701" s="1" t="n">
        <v>45210</v>
      </c>
      <c r="D5701" t="inlineStr">
        <is>
          <t>DALARNAS LÄN</t>
        </is>
      </c>
      <c r="E5701" t="inlineStr">
        <is>
          <t>LEKSAND</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26038-2023</t>
        </is>
      </c>
      <c r="B5702" s="1" t="n">
        <v>45091</v>
      </c>
      <c r="C5702" s="1" t="n">
        <v>45210</v>
      </c>
      <c r="D5702" t="inlineStr">
        <is>
          <t>DALARNAS LÄN</t>
        </is>
      </c>
      <c r="E5702" t="inlineStr">
        <is>
          <t>LEKSAND</t>
        </is>
      </c>
      <c r="G5702" t="n">
        <v>6.8</v>
      </c>
      <c r="H5702" t="n">
        <v>0</v>
      </c>
      <c r="I5702" t="n">
        <v>0</v>
      </c>
      <c r="J5702" t="n">
        <v>0</v>
      </c>
      <c r="K5702" t="n">
        <v>0</v>
      </c>
      <c r="L5702" t="n">
        <v>0</v>
      </c>
      <c r="M5702" t="n">
        <v>0</v>
      </c>
      <c r="N5702" t="n">
        <v>0</v>
      </c>
      <c r="O5702" t="n">
        <v>0</v>
      </c>
      <c r="P5702" t="n">
        <v>0</v>
      </c>
      <c r="Q5702" t="n">
        <v>0</v>
      </c>
      <c r="R5702" s="2" t="inlineStr"/>
    </row>
    <row r="5703" ht="15" customHeight="1">
      <c r="A5703" t="inlineStr">
        <is>
          <t>A 26107-2023</t>
        </is>
      </c>
      <c r="B5703" s="1" t="n">
        <v>45091</v>
      </c>
      <c r="C5703" s="1" t="n">
        <v>45210</v>
      </c>
      <c r="D5703" t="inlineStr">
        <is>
          <t>DALARNAS LÄN</t>
        </is>
      </c>
      <c r="E5703" t="inlineStr">
        <is>
          <t>LEKSAND</t>
        </is>
      </c>
      <c r="F5703" t="inlineStr">
        <is>
          <t>Bergvik skog väst AB</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26285-2023</t>
        </is>
      </c>
      <c r="B5704" s="1" t="n">
        <v>45091</v>
      </c>
      <c r="C5704" s="1" t="n">
        <v>45210</v>
      </c>
      <c r="D5704" t="inlineStr">
        <is>
          <t>DALARNAS LÄN</t>
        </is>
      </c>
      <c r="E5704" t="inlineStr">
        <is>
          <t>ORSA</t>
        </is>
      </c>
      <c r="G5704" t="n">
        <v>16.7</v>
      </c>
      <c r="H5704" t="n">
        <v>0</v>
      </c>
      <c r="I5704" t="n">
        <v>0</v>
      </c>
      <c r="J5704" t="n">
        <v>0</v>
      </c>
      <c r="K5704" t="n">
        <v>0</v>
      </c>
      <c r="L5704" t="n">
        <v>0</v>
      </c>
      <c r="M5704" t="n">
        <v>0</v>
      </c>
      <c r="N5704" t="n">
        <v>0</v>
      </c>
      <c r="O5704" t="n">
        <v>0</v>
      </c>
      <c r="P5704" t="n">
        <v>0</v>
      </c>
      <c r="Q5704" t="n">
        <v>0</v>
      </c>
      <c r="R5704" s="2" t="inlineStr"/>
    </row>
    <row r="5705" ht="15" customHeight="1">
      <c r="A5705" t="inlineStr">
        <is>
          <t>A 26294-2023</t>
        </is>
      </c>
      <c r="B5705" s="1" t="n">
        <v>45091</v>
      </c>
      <c r="C5705" s="1" t="n">
        <v>45210</v>
      </c>
      <c r="D5705" t="inlineStr">
        <is>
          <t>DALARNAS LÄN</t>
        </is>
      </c>
      <c r="E5705" t="inlineStr">
        <is>
          <t>ORSA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26301-2023</t>
        </is>
      </c>
      <c r="B5706" s="1" t="n">
        <v>45091</v>
      </c>
      <c r="C5706" s="1" t="n">
        <v>45210</v>
      </c>
      <c r="D5706" t="inlineStr">
        <is>
          <t>DALARNAS LÄN</t>
        </is>
      </c>
      <c r="E5706" t="inlineStr">
        <is>
          <t>ORSA</t>
        </is>
      </c>
      <c r="G5706" t="n">
        <v>1.7</v>
      </c>
      <c r="H5706" t="n">
        <v>0</v>
      </c>
      <c r="I5706" t="n">
        <v>0</v>
      </c>
      <c r="J5706" t="n">
        <v>0</v>
      </c>
      <c r="K5706" t="n">
        <v>0</v>
      </c>
      <c r="L5706" t="n">
        <v>0</v>
      </c>
      <c r="M5706" t="n">
        <v>0</v>
      </c>
      <c r="N5706" t="n">
        <v>0</v>
      </c>
      <c r="O5706" t="n">
        <v>0</v>
      </c>
      <c r="P5706" t="n">
        <v>0</v>
      </c>
      <c r="Q5706" t="n">
        <v>0</v>
      </c>
      <c r="R5706" s="2" t="inlineStr"/>
    </row>
    <row r="5707" ht="15" customHeight="1">
      <c r="A5707" t="inlineStr">
        <is>
          <t>A 26317-2023</t>
        </is>
      </c>
      <c r="B5707" s="1" t="n">
        <v>45091</v>
      </c>
      <c r="C5707" s="1" t="n">
        <v>45210</v>
      </c>
      <c r="D5707" t="inlineStr">
        <is>
          <t>DALARNAS LÄN</t>
        </is>
      </c>
      <c r="E5707" t="inlineStr">
        <is>
          <t>AVESTA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26480-2023</t>
        </is>
      </c>
      <c r="B5708" s="1" t="n">
        <v>45092</v>
      </c>
      <c r="C5708" s="1" t="n">
        <v>45210</v>
      </c>
      <c r="D5708" t="inlineStr">
        <is>
          <t>DALARNAS LÄN</t>
        </is>
      </c>
      <c r="E5708" t="inlineStr">
        <is>
          <t>SMEDJEBACKEN</t>
        </is>
      </c>
      <c r="F5708" t="inlineStr">
        <is>
          <t>Sveaskog</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26847-2023</t>
        </is>
      </c>
      <c r="B5709" s="1" t="n">
        <v>45093</v>
      </c>
      <c r="C5709" s="1" t="n">
        <v>45210</v>
      </c>
      <c r="D5709" t="inlineStr">
        <is>
          <t>DALARNAS LÄN</t>
        </is>
      </c>
      <c r="E5709" t="inlineStr">
        <is>
          <t>LEKSAND</t>
        </is>
      </c>
      <c r="G5709" t="n">
        <v>3.9</v>
      </c>
      <c r="H5709" t="n">
        <v>0</v>
      </c>
      <c r="I5709" t="n">
        <v>0</v>
      </c>
      <c r="J5709" t="n">
        <v>0</v>
      </c>
      <c r="K5709" t="n">
        <v>0</v>
      </c>
      <c r="L5709" t="n">
        <v>0</v>
      </c>
      <c r="M5709" t="n">
        <v>0</v>
      </c>
      <c r="N5709" t="n">
        <v>0</v>
      </c>
      <c r="O5709" t="n">
        <v>0</v>
      </c>
      <c r="P5709" t="n">
        <v>0</v>
      </c>
      <c r="Q5709" t="n">
        <v>0</v>
      </c>
      <c r="R5709" s="2" t="inlineStr"/>
    </row>
    <row r="5710" ht="15" customHeight="1">
      <c r="A5710" t="inlineStr">
        <is>
          <t>A 26789-2023</t>
        </is>
      </c>
      <c r="B5710" s="1" t="n">
        <v>45093</v>
      </c>
      <c r="C5710" s="1" t="n">
        <v>45210</v>
      </c>
      <c r="D5710" t="inlineStr">
        <is>
          <t>DALARNAS LÄN</t>
        </is>
      </c>
      <c r="E5710" t="inlineStr">
        <is>
          <t>LUDVIKA</t>
        </is>
      </c>
      <c r="F5710" t="inlineStr">
        <is>
          <t>Bergvik skog väst AB</t>
        </is>
      </c>
      <c r="G5710" t="n">
        <v>3.2</v>
      </c>
      <c r="H5710" t="n">
        <v>0</v>
      </c>
      <c r="I5710" t="n">
        <v>0</v>
      </c>
      <c r="J5710" t="n">
        <v>0</v>
      </c>
      <c r="K5710" t="n">
        <v>0</v>
      </c>
      <c r="L5710" t="n">
        <v>0</v>
      </c>
      <c r="M5710" t="n">
        <v>0</v>
      </c>
      <c r="N5710" t="n">
        <v>0</v>
      </c>
      <c r="O5710" t="n">
        <v>0</v>
      </c>
      <c r="P5710" t="n">
        <v>0</v>
      </c>
      <c r="Q5710" t="n">
        <v>0</v>
      </c>
      <c r="R5710" s="2" t="inlineStr"/>
    </row>
    <row r="5711" ht="15" customHeight="1">
      <c r="A5711" t="inlineStr">
        <is>
          <t>A 26903-2023</t>
        </is>
      </c>
      <c r="B5711" s="1" t="n">
        <v>45093</v>
      </c>
      <c r="C5711" s="1" t="n">
        <v>45210</v>
      </c>
      <c r="D5711" t="inlineStr">
        <is>
          <t>DALARNAS LÄN</t>
        </is>
      </c>
      <c r="E5711" t="inlineStr">
        <is>
          <t>FALUN</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26717-2023</t>
        </is>
      </c>
      <c r="B5712" s="1" t="n">
        <v>45093</v>
      </c>
      <c r="C5712" s="1" t="n">
        <v>45210</v>
      </c>
      <c r="D5712" t="inlineStr">
        <is>
          <t>DALARNAS LÄN</t>
        </is>
      </c>
      <c r="E5712" t="inlineStr">
        <is>
          <t>RÄTTVIK</t>
        </is>
      </c>
      <c r="F5712" t="inlineStr">
        <is>
          <t>Bergvik skog väst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26786-2023</t>
        </is>
      </c>
      <c r="B5713" s="1" t="n">
        <v>45093</v>
      </c>
      <c r="C5713" s="1" t="n">
        <v>45210</v>
      </c>
      <c r="D5713" t="inlineStr">
        <is>
          <t>DALARNAS LÄN</t>
        </is>
      </c>
      <c r="E5713" t="inlineStr">
        <is>
          <t>MORA</t>
        </is>
      </c>
      <c r="G5713" t="n">
        <v>1.5</v>
      </c>
      <c r="H5713" t="n">
        <v>0</v>
      </c>
      <c r="I5713" t="n">
        <v>0</v>
      </c>
      <c r="J5713" t="n">
        <v>0</v>
      </c>
      <c r="K5713" t="n">
        <v>0</v>
      </c>
      <c r="L5713" t="n">
        <v>0</v>
      </c>
      <c r="M5713" t="n">
        <v>0</v>
      </c>
      <c r="N5713" t="n">
        <v>0</v>
      </c>
      <c r="O5713" t="n">
        <v>0</v>
      </c>
      <c r="P5713" t="n">
        <v>0</v>
      </c>
      <c r="Q5713" t="n">
        <v>0</v>
      </c>
      <c r="R5713" s="2" t="inlineStr"/>
    </row>
    <row r="5714" ht="15" customHeight="1">
      <c r="A5714" t="inlineStr">
        <is>
          <t>A 26810-2023</t>
        </is>
      </c>
      <c r="B5714" s="1" t="n">
        <v>45093</v>
      </c>
      <c r="C5714" s="1" t="n">
        <v>45210</v>
      </c>
      <c r="D5714" t="inlineStr">
        <is>
          <t>DALARNAS LÄN</t>
        </is>
      </c>
      <c r="E5714" t="inlineStr">
        <is>
          <t>RÄTTVIK</t>
        </is>
      </c>
      <c r="F5714" t="inlineStr">
        <is>
          <t>Bergvik skog väst AB</t>
        </is>
      </c>
      <c r="G5714" t="n">
        <v>20.3</v>
      </c>
      <c r="H5714" t="n">
        <v>0</v>
      </c>
      <c r="I5714" t="n">
        <v>0</v>
      </c>
      <c r="J5714" t="n">
        <v>0</v>
      </c>
      <c r="K5714" t="n">
        <v>0</v>
      </c>
      <c r="L5714" t="n">
        <v>0</v>
      </c>
      <c r="M5714" t="n">
        <v>0</v>
      </c>
      <c r="N5714" t="n">
        <v>0</v>
      </c>
      <c r="O5714" t="n">
        <v>0</v>
      </c>
      <c r="P5714" t="n">
        <v>0</v>
      </c>
      <c r="Q5714" t="n">
        <v>0</v>
      </c>
      <c r="R5714" s="2" t="inlineStr"/>
    </row>
    <row r="5715" ht="15" customHeight="1">
      <c r="A5715" t="inlineStr">
        <is>
          <t>A 26957-2023</t>
        </is>
      </c>
      <c r="B5715" s="1" t="n">
        <v>45093</v>
      </c>
      <c r="C5715" s="1" t="n">
        <v>45210</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27047-2023</t>
        </is>
      </c>
      <c r="B5716" s="1" t="n">
        <v>45095</v>
      </c>
      <c r="C5716" s="1" t="n">
        <v>45210</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27055-2023</t>
        </is>
      </c>
      <c r="B5717" s="1" t="n">
        <v>45095</v>
      </c>
      <c r="C5717" s="1" t="n">
        <v>45210</v>
      </c>
      <c r="D5717" t="inlineStr">
        <is>
          <t>DALARNAS LÄN</t>
        </is>
      </c>
      <c r="E5717" t="inlineStr">
        <is>
          <t>LEKSAND</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27137-2023</t>
        </is>
      </c>
      <c r="B5718" s="1" t="n">
        <v>45096</v>
      </c>
      <c r="C5718" s="1" t="n">
        <v>45210</v>
      </c>
      <c r="D5718" t="inlineStr">
        <is>
          <t>DALARNAS LÄN</t>
        </is>
      </c>
      <c r="E5718" t="inlineStr">
        <is>
          <t>VANSBRO</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27244-2023</t>
        </is>
      </c>
      <c r="B5719" s="1" t="n">
        <v>45096</v>
      </c>
      <c r="C5719" s="1" t="n">
        <v>45210</v>
      </c>
      <c r="D5719" t="inlineStr">
        <is>
          <t>DALARNAS LÄN</t>
        </is>
      </c>
      <c r="E5719" t="inlineStr">
        <is>
          <t>LEKSAND</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27348-2023</t>
        </is>
      </c>
      <c r="B5720" s="1" t="n">
        <v>45096</v>
      </c>
      <c r="C5720" s="1" t="n">
        <v>45210</v>
      </c>
      <c r="D5720" t="inlineStr">
        <is>
          <t>DALARNAS LÄN</t>
        </is>
      </c>
      <c r="E5720" t="inlineStr">
        <is>
          <t>LEKSAND</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27353-2023</t>
        </is>
      </c>
      <c r="B5721" s="1" t="n">
        <v>45096</v>
      </c>
      <c r="C5721" s="1" t="n">
        <v>45210</v>
      </c>
      <c r="D5721" t="inlineStr">
        <is>
          <t>DALARNAS LÄN</t>
        </is>
      </c>
      <c r="E5721" t="inlineStr">
        <is>
          <t>FALUN</t>
        </is>
      </c>
      <c r="G5721" t="n">
        <v>2.8</v>
      </c>
      <c r="H5721" t="n">
        <v>0</v>
      </c>
      <c r="I5721" t="n">
        <v>0</v>
      </c>
      <c r="J5721" t="n">
        <v>0</v>
      </c>
      <c r="K5721" t="n">
        <v>0</v>
      </c>
      <c r="L5721" t="n">
        <v>0</v>
      </c>
      <c r="M5721" t="n">
        <v>0</v>
      </c>
      <c r="N5721" t="n">
        <v>0</v>
      </c>
      <c r="O5721" t="n">
        <v>0</v>
      </c>
      <c r="P5721" t="n">
        <v>0</v>
      </c>
      <c r="Q5721" t="n">
        <v>0</v>
      </c>
      <c r="R5721" s="2" t="inlineStr"/>
    </row>
    <row r="5722" ht="15" customHeight="1">
      <c r="A5722" t="inlineStr">
        <is>
          <t>A 27352-2023</t>
        </is>
      </c>
      <c r="B5722" s="1" t="n">
        <v>45096</v>
      </c>
      <c r="C5722" s="1" t="n">
        <v>45210</v>
      </c>
      <c r="D5722" t="inlineStr">
        <is>
          <t>DALARNAS LÄN</t>
        </is>
      </c>
      <c r="E5722" t="inlineStr">
        <is>
          <t>SÄTER</t>
        </is>
      </c>
      <c r="G5722" t="n">
        <v>4.9</v>
      </c>
      <c r="H5722" t="n">
        <v>0</v>
      </c>
      <c r="I5722" t="n">
        <v>0</v>
      </c>
      <c r="J5722" t="n">
        <v>0</v>
      </c>
      <c r="K5722" t="n">
        <v>0</v>
      </c>
      <c r="L5722" t="n">
        <v>0</v>
      </c>
      <c r="M5722" t="n">
        <v>0</v>
      </c>
      <c r="N5722" t="n">
        <v>0</v>
      </c>
      <c r="O5722" t="n">
        <v>0</v>
      </c>
      <c r="P5722" t="n">
        <v>0</v>
      </c>
      <c r="Q5722" t="n">
        <v>0</v>
      </c>
      <c r="R5722" s="2" t="inlineStr"/>
    </row>
    <row r="5723" ht="15" customHeight="1">
      <c r="A5723" t="inlineStr">
        <is>
          <t>A 28612-2023</t>
        </is>
      </c>
      <c r="B5723" s="1" t="n">
        <v>45096</v>
      </c>
      <c r="C5723" s="1" t="n">
        <v>45210</v>
      </c>
      <c r="D5723" t="inlineStr">
        <is>
          <t>DALARNAS LÄN</t>
        </is>
      </c>
      <c r="E5723" t="inlineStr">
        <is>
          <t>MALUNG-SÄLEN</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27188-2023</t>
        </is>
      </c>
      <c r="B5724" s="1" t="n">
        <v>45096</v>
      </c>
      <c r="C5724" s="1" t="n">
        <v>45210</v>
      </c>
      <c r="D5724" t="inlineStr">
        <is>
          <t>DALARNAS LÄN</t>
        </is>
      </c>
      <c r="E5724" t="inlineStr">
        <is>
          <t>MORA</t>
        </is>
      </c>
      <c r="G5724" t="n">
        <v>4.8</v>
      </c>
      <c r="H5724" t="n">
        <v>0</v>
      </c>
      <c r="I5724" t="n">
        <v>0</v>
      </c>
      <c r="J5724" t="n">
        <v>0</v>
      </c>
      <c r="K5724" t="n">
        <v>0</v>
      </c>
      <c r="L5724" t="n">
        <v>0</v>
      </c>
      <c r="M5724" t="n">
        <v>0</v>
      </c>
      <c r="N5724" t="n">
        <v>0</v>
      </c>
      <c r="O5724" t="n">
        <v>0</v>
      </c>
      <c r="P5724" t="n">
        <v>0</v>
      </c>
      <c r="Q5724" t="n">
        <v>0</v>
      </c>
      <c r="R5724" s="2" t="inlineStr"/>
    </row>
    <row r="5725" ht="15" customHeight="1">
      <c r="A5725" t="inlineStr">
        <is>
          <t>A 27213-2023</t>
        </is>
      </c>
      <c r="B5725" s="1" t="n">
        <v>45096</v>
      </c>
      <c r="C5725" s="1" t="n">
        <v>45210</v>
      </c>
      <c r="D5725" t="inlineStr">
        <is>
          <t>DALARNAS LÄN</t>
        </is>
      </c>
      <c r="E5725" t="inlineStr">
        <is>
          <t>BORLÄNGE</t>
        </is>
      </c>
      <c r="G5725" t="n">
        <v>0.4</v>
      </c>
      <c r="H5725" t="n">
        <v>0</v>
      </c>
      <c r="I5725" t="n">
        <v>0</v>
      </c>
      <c r="J5725" t="n">
        <v>0</v>
      </c>
      <c r="K5725" t="n">
        <v>0</v>
      </c>
      <c r="L5725" t="n">
        <v>0</v>
      </c>
      <c r="M5725" t="n">
        <v>0</v>
      </c>
      <c r="N5725" t="n">
        <v>0</v>
      </c>
      <c r="O5725" t="n">
        <v>0</v>
      </c>
      <c r="P5725" t="n">
        <v>0</v>
      </c>
      <c r="Q5725" t="n">
        <v>0</v>
      </c>
      <c r="R5725" s="2" t="inlineStr"/>
    </row>
    <row r="5726" ht="15" customHeight="1">
      <c r="A5726" t="inlineStr">
        <is>
          <t>A 27349-2023</t>
        </is>
      </c>
      <c r="B5726" s="1" t="n">
        <v>45096</v>
      </c>
      <c r="C5726" s="1" t="n">
        <v>45210</v>
      </c>
      <c r="D5726" t="inlineStr">
        <is>
          <t>DALARNAS LÄN</t>
        </is>
      </c>
      <c r="E5726" t="inlineStr">
        <is>
          <t>FALUN</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28621-2023</t>
        </is>
      </c>
      <c r="B5727" s="1" t="n">
        <v>45096</v>
      </c>
      <c r="C5727" s="1" t="n">
        <v>45210</v>
      </c>
      <c r="D5727" t="inlineStr">
        <is>
          <t>DALARNAS LÄN</t>
        </is>
      </c>
      <c r="E5727" t="inlineStr">
        <is>
          <t>MALUNG-SÄLEN</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27350-2023</t>
        </is>
      </c>
      <c r="B5728" s="1" t="n">
        <v>45096</v>
      </c>
      <c r="C5728" s="1" t="n">
        <v>45210</v>
      </c>
      <c r="D5728" t="inlineStr">
        <is>
          <t>DALARNAS LÄN</t>
        </is>
      </c>
      <c r="E5728" t="inlineStr">
        <is>
          <t>FALUN</t>
        </is>
      </c>
      <c r="G5728" t="n">
        <v>9.699999999999999</v>
      </c>
      <c r="H5728" t="n">
        <v>0</v>
      </c>
      <c r="I5728" t="n">
        <v>0</v>
      </c>
      <c r="J5728" t="n">
        <v>0</v>
      </c>
      <c r="K5728" t="n">
        <v>0</v>
      </c>
      <c r="L5728" t="n">
        <v>0</v>
      </c>
      <c r="M5728" t="n">
        <v>0</v>
      </c>
      <c r="N5728" t="n">
        <v>0</v>
      </c>
      <c r="O5728" t="n">
        <v>0</v>
      </c>
      <c r="P5728" t="n">
        <v>0</v>
      </c>
      <c r="Q5728" t="n">
        <v>0</v>
      </c>
      <c r="R5728" s="2" t="inlineStr"/>
    </row>
    <row r="5729" ht="15" customHeight="1">
      <c r="A5729" t="inlineStr">
        <is>
          <t>A 27493-2023</t>
        </is>
      </c>
      <c r="B5729" s="1" t="n">
        <v>45097</v>
      </c>
      <c r="C5729" s="1" t="n">
        <v>45210</v>
      </c>
      <c r="D5729" t="inlineStr">
        <is>
          <t>DALARNAS LÄN</t>
        </is>
      </c>
      <c r="E5729" t="inlineStr">
        <is>
          <t>FALUN</t>
        </is>
      </c>
      <c r="G5729" t="n">
        <v>6</v>
      </c>
      <c r="H5729" t="n">
        <v>0</v>
      </c>
      <c r="I5729" t="n">
        <v>0</v>
      </c>
      <c r="J5729" t="n">
        <v>0</v>
      </c>
      <c r="K5729" t="n">
        <v>0</v>
      </c>
      <c r="L5729" t="n">
        <v>0</v>
      </c>
      <c r="M5729" t="n">
        <v>0</v>
      </c>
      <c r="N5729" t="n">
        <v>0</v>
      </c>
      <c r="O5729" t="n">
        <v>0</v>
      </c>
      <c r="P5729" t="n">
        <v>0</v>
      </c>
      <c r="Q5729" t="n">
        <v>0</v>
      </c>
      <c r="R5729" s="2" t="inlineStr"/>
    </row>
    <row r="5730" ht="15" customHeight="1">
      <c r="A5730" t="inlineStr">
        <is>
          <t>A 27511-2023</t>
        </is>
      </c>
      <c r="B5730" s="1" t="n">
        <v>45097</v>
      </c>
      <c r="C5730" s="1" t="n">
        <v>45210</v>
      </c>
      <c r="D5730" t="inlineStr">
        <is>
          <t>DALARNAS LÄN</t>
        </is>
      </c>
      <c r="E5730" t="inlineStr">
        <is>
          <t>LEKSAND</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27438-2023</t>
        </is>
      </c>
      <c r="B5731" s="1" t="n">
        <v>45097</v>
      </c>
      <c r="C5731" s="1" t="n">
        <v>45210</v>
      </c>
      <c r="D5731" t="inlineStr">
        <is>
          <t>DALARNAS LÄN</t>
        </is>
      </c>
      <c r="E5731" t="inlineStr">
        <is>
          <t>BORLÄNGE</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27500-2023</t>
        </is>
      </c>
      <c r="B5732" s="1" t="n">
        <v>45097</v>
      </c>
      <c r="C5732" s="1" t="n">
        <v>45210</v>
      </c>
      <c r="D5732" t="inlineStr">
        <is>
          <t>DALARNAS LÄN</t>
        </is>
      </c>
      <c r="E5732" t="inlineStr">
        <is>
          <t>MALUNG-SÄLEN</t>
        </is>
      </c>
      <c r="F5732" t="inlineStr">
        <is>
          <t>Bergvik skog öst AB</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27520-2023</t>
        </is>
      </c>
      <c r="B5733" s="1" t="n">
        <v>45097</v>
      </c>
      <c r="C5733" s="1" t="n">
        <v>45210</v>
      </c>
      <c r="D5733" t="inlineStr">
        <is>
          <t>DALARNAS LÄN</t>
        </is>
      </c>
      <c r="E5733" t="inlineStr">
        <is>
          <t>LEKSAND</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27542-2023</t>
        </is>
      </c>
      <c r="B5734" s="1" t="n">
        <v>45097</v>
      </c>
      <c r="C5734" s="1" t="n">
        <v>45210</v>
      </c>
      <c r="D5734" t="inlineStr">
        <is>
          <t>DALARNAS LÄN</t>
        </is>
      </c>
      <c r="E5734" t="inlineStr">
        <is>
          <t>MALUNG-SÄLEN</t>
        </is>
      </c>
      <c r="F5734" t="inlineStr">
        <is>
          <t>Bergvik skog öst AB</t>
        </is>
      </c>
      <c r="G5734" t="n">
        <v>15.3</v>
      </c>
      <c r="H5734" t="n">
        <v>0</v>
      </c>
      <c r="I5734" t="n">
        <v>0</v>
      </c>
      <c r="J5734" t="n">
        <v>0</v>
      </c>
      <c r="K5734" t="n">
        <v>0</v>
      </c>
      <c r="L5734" t="n">
        <v>0</v>
      </c>
      <c r="M5734" t="n">
        <v>0</v>
      </c>
      <c r="N5734" t="n">
        <v>0</v>
      </c>
      <c r="O5734" t="n">
        <v>0</v>
      </c>
      <c r="P5734" t="n">
        <v>0</v>
      </c>
      <c r="Q5734" t="n">
        <v>0</v>
      </c>
      <c r="R5734" s="2" t="inlineStr"/>
    </row>
    <row r="5735" ht="15" customHeight="1">
      <c r="A5735" t="inlineStr">
        <is>
          <t>A 27561-2023</t>
        </is>
      </c>
      <c r="B5735" s="1" t="n">
        <v>45097</v>
      </c>
      <c r="C5735" s="1" t="n">
        <v>45210</v>
      </c>
      <c r="D5735" t="inlineStr">
        <is>
          <t>DALARNAS LÄN</t>
        </is>
      </c>
      <c r="E5735" t="inlineStr">
        <is>
          <t>MALUNG-SÄLEN</t>
        </is>
      </c>
      <c r="G5735" t="n">
        <v>3.4</v>
      </c>
      <c r="H5735" t="n">
        <v>0</v>
      </c>
      <c r="I5735" t="n">
        <v>0</v>
      </c>
      <c r="J5735" t="n">
        <v>0</v>
      </c>
      <c r="K5735" t="n">
        <v>0</v>
      </c>
      <c r="L5735" t="n">
        <v>0</v>
      </c>
      <c r="M5735" t="n">
        <v>0</v>
      </c>
      <c r="N5735" t="n">
        <v>0</v>
      </c>
      <c r="O5735" t="n">
        <v>0</v>
      </c>
      <c r="P5735" t="n">
        <v>0</v>
      </c>
      <c r="Q5735" t="n">
        <v>0</v>
      </c>
      <c r="R5735" s="2" t="inlineStr"/>
    </row>
    <row r="5736" ht="15" customHeight="1">
      <c r="A5736" t="inlineStr">
        <is>
          <t>A 27615-2023</t>
        </is>
      </c>
      <c r="B5736" s="1" t="n">
        <v>45097</v>
      </c>
      <c r="C5736" s="1" t="n">
        <v>45210</v>
      </c>
      <c r="D5736" t="inlineStr">
        <is>
          <t>DALARNAS LÄN</t>
        </is>
      </c>
      <c r="E5736" t="inlineStr">
        <is>
          <t>ÄLVDALEN</t>
        </is>
      </c>
      <c r="F5736" t="inlineStr">
        <is>
          <t>Bergvik skog väst AB</t>
        </is>
      </c>
      <c r="G5736" t="n">
        <v>3.7</v>
      </c>
      <c r="H5736" t="n">
        <v>0</v>
      </c>
      <c r="I5736" t="n">
        <v>0</v>
      </c>
      <c r="J5736" t="n">
        <v>0</v>
      </c>
      <c r="K5736" t="n">
        <v>0</v>
      </c>
      <c r="L5736" t="n">
        <v>0</v>
      </c>
      <c r="M5736" t="n">
        <v>0</v>
      </c>
      <c r="N5736" t="n">
        <v>0</v>
      </c>
      <c r="O5736" t="n">
        <v>0</v>
      </c>
      <c r="P5736" t="n">
        <v>0</v>
      </c>
      <c r="Q5736" t="n">
        <v>0</v>
      </c>
      <c r="R5736" s="2" t="inlineStr"/>
    </row>
    <row r="5737" ht="15" customHeight="1">
      <c r="A5737" t="inlineStr">
        <is>
          <t>A 27624-2023</t>
        </is>
      </c>
      <c r="B5737" s="1" t="n">
        <v>45097</v>
      </c>
      <c r="C5737" s="1" t="n">
        <v>45210</v>
      </c>
      <c r="D5737" t="inlineStr">
        <is>
          <t>DALARNAS LÄN</t>
        </is>
      </c>
      <c r="E5737" t="inlineStr">
        <is>
          <t>ÄLVDALEN</t>
        </is>
      </c>
      <c r="F5737" t="inlineStr">
        <is>
          <t>Allmännings- och besparingsskogar</t>
        </is>
      </c>
      <c r="G5737" t="n">
        <v>8.9</v>
      </c>
      <c r="H5737" t="n">
        <v>0</v>
      </c>
      <c r="I5737" t="n">
        <v>0</v>
      </c>
      <c r="J5737" t="n">
        <v>0</v>
      </c>
      <c r="K5737" t="n">
        <v>0</v>
      </c>
      <c r="L5737" t="n">
        <v>0</v>
      </c>
      <c r="M5737" t="n">
        <v>0</v>
      </c>
      <c r="N5737" t="n">
        <v>0</v>
      </c>
      <c r="O5737" t="n">
        <v>0</v>
      </c>
      <c r="P5737" t="n">
        <v>0</v>
      </c>
      <c r="Q5737" t="n">
        <v>0</v>
      </c>
      <c r="R5737" s="2" t="inlineStr"/>
    </row>
    <row r="5738" ht="15" customHeight="1">
      <c r="A5738" t="inlineStr">
        <is>
          <t>A 27695-2023</t>
        </is>
      </c>
      <c r="B5738" s="1" t="n">
        <v>45097</v>
      </c>
      <c r="C5738" s="1" t="n">
        <v>45210</v>
      </c>
      <c r="D5738" t="inlineStr">
        <is>
          <t>DALARNAS LÄN</t>
        </is>
      </c>
      <c r="E5738" t="inlineStr">
        <is>
          <t>HEDEMORA</t>
        </is>
      </c>
      <c r="F5738" t="inlineStr">
        <is>
          <t>Sveaskog</t>
        </is>
      </c>
      <c r="G5738" t="n">
        <v>6.5</v>
      </c>
      <c r="H5738" t="n">
        <v>0</v>
      </c>
      <c r="I5738" t="n">
        <v>0</v>
      </c>
      <c r="J5738" t="n">
        <v>0</v>
      </c>
      <c r="K5738" t="n">
        <v>0</v>
      </c>
      <c r="L5738" t="n">
        <v>0</v>
      </c>
      <c r="M5738" t="n">
        <v>0</v>
      </c>
      <c r="N5738" t="n">
        <v>0</v>
      </c>
      <c r="O5738" t="n">
        <v>0</v>
      </c>
      <c r="P5738" t="n">
        <v>0</v>
      </c>
      <c r="Q5738" t="n">
        <v>0</v>
      </c>
      <c r="R5738" s="2" t="inlineStr"/>
    </row>
    <row r="5739" ht="15" customHeight="1">
      <c r="A5739" t="inlineStr">
        <is>
          <t>A 27506-2023</t>
        </is>
      </c>
      <c r="B5739" s="1" t="n">
        <v>45097</v>
      </c>
      <c r="C5739" s="1" t="n">
        <v>45210</v>
      </c>
      <c r="D5739" t="inlineStr">
        <is>
          <t>DALARNAS LÄN</t>
        </is>
      </c>
      <c r="E5739" t="inlineStr">
        <is>
          <t>FALUN</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27522-2023</t>
        </is>
      </c>
      <c r="B5740" s="1" t="n">
        <v>45097</v>
      </c>
      <c r="C5740" s="1" t="n">
        <v>45210</v>
      </c>
      <c r="D5740" t="inlineStr">
        <is>
          <t>DALARNAS LÄN</t>
        </is>
      </c>
      <c r="E5740" t="inlineStr">
        <is>
          <t>RÄTTVIK</t>
        </is>
      </c>
      <c r="F5740" t="inlineStr">
        <is>
          <t>Bergvik skog väst AB</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27531-2023</t>
        </is>
      </c>
      <c r="B5741" s="1" t="n">
        <v>45097</v>
      </c>
      <c r="C5741" s="1" t="n">
        <v>45210</v>
      </c>
      <c r="D5741" t="inlineStr">
        <is>
          <t>DALARNAS LÄN</t>
        </is>
      </c>
      <c r="E5741" t="inlineStr">
        <is>
          <t>ORSA</t>
        </is>
      </c>
      <c r="F5741" t="inlineStr">
        <is>
          <t>Allmännings- och besparingsskogar</t>
        </is>
      </c>
      <c r="G5741" t="n">
        <v>13.4</v>
      </c>
      <c r="H5741" t="n">
        <v>0</v>
      </c>
      <c r="I5741" t="n">
        <v>0</v>
      </c>
      <c r="J5741" t="n">
        <v>0</v>
      </c>
      <c r="K5741" t="n">
        <v>0</v>
      </c>
      <c r="L5741" t="n">
        <v>0</v>
      </c>
      <c r="M5741" t="n">
        <v>0</v>
      </c>
      <c r="N5741" t="n">
        <v>0</v>
      </c>
      <c r="O5741" t="n">
        <v>0</v>
      </c>
      <c r="P5741" t="n">
        <v>0</v>
      </c>
      <c r="Q5741" t="n">
        <v>0</v>
      </c>
      <c r="R5741" s="2" t="inlineStr"/>
    </row>
    <row r="5742" ht="15" customHeight="1">
      <c r="A5742" t="inlineStr">
        <is>
          <t>A 27559-2023</t>
        </is>
      </c>
      <c r="B5742" s="1" t="n">
        <v>45097</v>
      </c>
      <c r="C5742" s="1" t="n">
        <v>45210</v>
      </c>
      <c r="D5742" t="inlineStr">
        <is>
          <t>DALARNAS LÄN</t>
        </is>
      </c>
      <c r="E5742" t="inlineStr">
        <is>
          <t>MALUNG-SÄLEN</t>
        </is>
      </c>
      <c r="G5742" t="n">
        <v>5.3</v>
      </c>
      <c r="H5742" t="n">
        <v>0</v>
      </c>
      <c r="I5742" t="n">
        <v>0</v>
      </c>
      <c r="J5742" t="n">
        <v>0</v>
      </c>
      <c r="K5742" t="n">
        <v>0</v>
      </c>
      <c r="L5742" t="n">
        <v>0</v>
      </c>
      <c r="M5742" t="n">
        <v>0</v>
      </c>
      <c r="N5742" t="n">
        <v>0</v>
      </c>
      <c r="O5742" t="n">
        <v>0</v>
      </c>
      <c r="P5742" t="n">
        <v>0</v>
      </c>
      <c r="Q5742" t="n">
        <v>0</v>
      </c>
      <c r="R5742" s="2" t="inlineStr"/>
    </row>
    <row r="5743" ht="15" customHeight="1">
      <c r="A5743" t="inlineStr">
        <is>
          <t>A 27535-2023</t>
        </is>
      </c>
      <c r="B5743" s="1" t="n">
        <v>45097</v>
      </c>
      <c r="C5743" s="1" t="n">
        <v>45210</v>
      </c>
      <c r="D5743" t="inlineStr">
        <is>
          <t>DALARNAS LÄN</t>
        </is>
      </c>
      <c r="E5743" t="inlineStr">
        <is>
          <t>RÄTTVIK</t>
        </is>
      </c>
      <c r="F5743" t="inlineStr">
        <is>
          <t>Bergvik skog väst AB</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27543-2023</t>
        </is>
      </c>
      <c r="B5744" s="1" t="n">
        <v>45097</v>
      </c>
      <c r="C5744" s="1" t="n">
        <v>45210</v>
      </c>
      <c r="D5744" t="inlineStr">
        <is>
          <t>DALARNAS LÄN</t>
        </is>
      </c>
      <c r="E5744" t="inlineStr">
        <is>
          <t>LEKSAND</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27668-2023</t>
        </is>
      </c>
      <c r="B5745" s="1" t="n">
        <v>45097</v>
      </c>
      <c r="C5745" s="1" t="n">
        <v>45210</v>
      </c>
      <c r="D5745" t="inlineStr">
        <is>
          <t>DALARNAS LÄN</t>
        </is>
      </c>
      <c r="E5745" t="inlineStr">
        <is>
          <t>GAGNEF</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27696-2023</t>
        </is>
      </c>
      <c r="B5746" s="1" t="n">
        <v>45097</v>
      </c>
      <c r="C5746" s="1" t="n">
        <v>45210</v>
      </c>
      <c r="D5746" t="inlineStr">
        <is>
          <t>DALARNAS LÄN</t>
        </is>
      </c>
      <c r="E5746" t="inlineStr">
        <is>
          <t>HEDEMORA</t>
        </is>
      </c>
      <c r="F5746" t="inlineStr">
        <is>
          <t>Sveaskog</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27905-2023</t>
        </is>
      </c>
      <c r="B5747" s="1" t="n">
        <v>45098</v>
      </c>
      <c r="C5747" s="1" t="n">
        <v>45210</v>
      </c>
      <c r="D5747" t="inlineStr">
        <is>
          <t>DALARNAS LÄN</t>
        </is>
      </c>
      <c r="E5747" t="inlineStr">
        <is>
          <t>SÄTER</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27910-2023</t>
        </is>
      </c>
      <c r="B5748" s="1" t="n">
        <v>45098</v>
      </c>
      <c r="C5748" s="1" t="n">
        <v>45210</v>
      </c>
      <c r="D5748" t="inlineStr">
        <is>
          <t>DALARNAS LÄN</t>
        </is>
      </c>
      <c r="E5748" t="inlineStr">
        <is>
          <t>SÄTER</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27929-2023</t>
        </is>
      </c>
      <c r="B5749" s="1" t="n">
        <v>45098</v>
      </c>
      <c r="C5749" s="1" t="n">
        <v>45210</v>
      </c>
      <c r="D5749" t="inlineStr">
        <is>
          <t>DALARNAS LÄN</t>
        </is>
      </c>
      <c r="E5749" t="inlineStr">
        <is>
          <t>LUDVIKA</t>
        </is>
      </c>
      <c r="F5749" t="inlineStr">
        <is>
          <t>Bergvik skog väst AB</t>
        </is>
      </c>
      <c r="G5749" t="n">
        <v>9.800000000000001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27975-2023</t>
        </is>
      </c>
      <c r="B5750" s="1" t="n">
        <v>45098</v>
      </c>
      <c r="C5750" s="1" t="n">
        <v>45210</v>
      </c>
      <c r="D5750" t="inlineStr">
        <is>
          <t>DALARNAS LÄN</t>
        </is>
      </c>
      <c r="E5750" t="inlineStr">
        <is>
          <t>MORA</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27791-2023</t>
        </is>
      </c>
      <c r="B5751" s="1" t="n">
        <v>45098</v>
      </c>
      <c r="C5751" s="1" t="n">
        <v>45210</v>
      </c>
      <c r="D5751" t="inlineStr">
        <is>
          <t>DALARNAS LÄN</t>
        </is>
      </c>
      <c r="E5751" t="inlineStr">
        <is>
          <t>LEKSAND</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28196-2023</t>
        </is>
      </c>
      <c r="B5752" s="1" t="n">
        <v>45099</v>
      </c>
      <c r="C5752" s="1" t="n">
        <v>45210</v>
      </c>
      <c r="D5752" t="inlineStr">
        <is>
          <t>DALARNAS LÄN</t>
        </is>
      </c>
      <c r="E5752" t="inlineStr">
        <is>
          <t>ORSA</t>
        </is>
      </c>
      <c r="F5752" t="inlineStr">
        <is>
          <t>Bergvik skog öst AB</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28231-2023</t>
        </is>
      </c>
      <c r="B5753" s="1" t="n">
        <v>45099</v>
      </c>
      <c r="C5753" s="1" t="n">
        <v>45210</v>
      </c>
      <c r="D5753" t="inlineStr">
        <is>
          <t>DALARNAS LÄN</t>
        </is>
      </c>
      <c r="E5753" t="inlineStr">
        <is>
          <t>GAGNEF</t>
        </is>
      </c>
      <c r="G5753" t="n">
        <v>5.6</v>
      </c>
      <c r="H5753" t="n">
        <v>0</v>
      </c>
      <c r="I5753" t="n">
        <v>0</v>
      </c>
      <c r="J5753" t="n">
        <v>0</v>
      </c>
      <c r="K5753" t="n">
        <v>0</v>
      </c>
      <c r="L5753" t="n">
        <v>0</v>
      </c>
      <c r="M5753" t="n">
        <v>0</v>
      </c>
      <c r="N5753" t="n">
        <v>0</v>
      </c>
      <c r="O5753" t="n">
        <v>0</v>
      </c>
      <c r="P5753" t="n">
        <v>0</v>
      </c>
      <c r="Q5753" t="n">
        <v>0</v>
      </c>
      <c r="R5753" s="2" t="inlineStr"/>
    </row>
    <row r="5754" ht="15" customHeight="1">
      <c r="A5754" t="inlineStr">
        <is>
          <t>A 28238-2023</t>
        </is>
      </c>
      <c r="B5754" s="1" t="n">
        <v>45099</v>
      </c>
      <c r="C5754" s="1" t="n">
        <v>45210</v>
      </c>
      <c r="D5754" t="inlineStr">
        <is>
          <t>DALARNAS LÄN</t>
        </is>
      </c>
      <c r="E5754" t="inlineStr">
        <is>
          <t>GAGNEF</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28039-2023</t>
        </is>
      </c>
      <c r="B5755" s="1" t="n">
        <v>45099</v>
      </c>
      <c r="C5755" s="1" t="n">
        <v>45210</v>
      </c>
      <c r="D5755" t="inlineStr">
        <is>
          <t>DALARNAS LÄN</t>
        </is>
      </c>
      <c r="E5755" t="inlineStr">
        <is>
          <t>BORLÄNGE</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28082-2023</t>
        </is>
      </c>
      <c r="B5756" s="1" t="n">
        <v>45099</v>
      </c>
      <c r="C5756" s="1" t="n">
        <v>45210</v>
      </c>
      <c r="D5756" t="inlineStr">
        <is>
          <t>DALARNAS LÄN</t>
        </is>
      </c>
      <c r="E5756" t="inlineStr">
        <is>
          <t>ORSA</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28108-2023</t>
        </is>
      </c>
      <c r="B5757" s="1" t="n">
        <v>45099</v>
      </c>
      <c r="C5757" s="1" t="n">
        <v>45210</v>
      </c>
      <c r="D5757" t="inlineStr">
        <is>
          <t>DALARNAS LÄN</t>
        </is>
      </c>
      <c r="E5757" t="inlineStr">
        <is>
          <t>LEKSAND</t>
        </is>
      </c>
      <c r="F5757" t="inlineStr">
        <is>
          <t>Bergvik skog väst AB</t>
        </is>
      </c>
      <c r="G5757" t="n">
        <v>1.8</v>
      </c>
      <c r="H5757" t="n">
        <v>0</v>
      </c>
      <c r="I5757" t="n">
        <v>0</v>
      </c>
      <c r="J5757" t="n">
        <v>0</v>
      </c>
      <c r="K5757" t="n">
        <v>0</v>
      </c>
      <c r="L5757" t="n">
        <v>0</v>
      </c>
      <c r="M5757" t="n">
        <v>0</v>
      </c>
      <c r="N5757" t="n">
        <v>0</v>
      </c>
      <c r="O5757" t="n">
        <v>0</v>
      </c>
      <c r="P5757" t="n">
        <v>0</v>
      </c>
      <c r="Q5757" t="n">
        <v>0</v>
      </c>
      <c r="R5757" s="2" t="inlineStr"/>
    </row>
    <row r="5758" ht="15" customHeight="1">
      <c r="A5758" t="inlineStr">
        <is>
          <t>A 28147-2023</t>
        </is>
      </c>
      <c r="B5758" s="1" t="n">
        <v>45099</v>
      </c>
      <c r="C5758" s="1" t="n">
        <v>45210</v>
      </c>
      <c r="D5758" t="inlineStr">
        <is>
          <t>DALARNAS LÄN</t>
        </is>
      </c>
      <c r="E5758" t="inlineStr">
        <is>
          <t>BORLÄNGE</t>
        </is>
      </c>
      <c r="G5758" t="n">
        <v>7.6</v>
      </c>
      <c r="H5758" t="n">
        <v>0</v>
      </c>
      <c r="I5758" t="n">
        <v>0</v>
      </c>
      <c r="J5758" t="n">
        <v>0</v>
      </c>
      <c r="K5758" t="n">
        <v>0</v>
      </c>
      <c r="L5758" t="n">
        <v>0</v>
      </c>
      <c r="M5758" t="n">
        <v>0</v>
      </c>
      <c r="N5758" t="n">
        <v>0</v>
      </c>
      <c r="O5758" t="n">
        <v>0</v>
      </c>
      <c r="P5758" t="n">
        <v>0</v>
      </c>
      <c r="Q5758" t="n">
        <v>0</v>
      </c>
      <c r="R5758" s="2" t="inlineStr"/>
    </row>
    <row r="5759" ht="15" customHeight="1">
      <c r="A5759" t="inlineStr">
        <is>
          <t>A 28275-2023</t>
        </is>
      </c>
      <c r="B5759" s="1" t="n">
        <v>45099</v>
      </c>
      <c r="C5759" s="1" t="n">
        <v>45210</v>
      </c>
      <c r="D5759" t="inlineStr">
        <is>
          <t>DALARNAS LÄN</t>
        </is>
      </c>
      <c r="E5759" t="inlineStr">
        <is>
          <t>FALUN</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30474-2023</t>
        </is>
      </c>
      <c r="B5760" s="1" t="n">
        <v>45099</v>
      </c>
      <c r="C5760" s="1" t="n">
        <v>45210</v>
      </c>
      <c r="D5760" t="inlineStr">
        <is>
          <t>DALARNAS LÄN</t>
        </is>
      </c>
      <c r="E5760" t="inlineStr">
        <is>
          <t>ORSA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28216-2023</t>
        </is>
      </c>
      <c r="B5761" s="1" t="n">
        <v>45099</v>
      </c>
      <c r="C5761" s="1" t="n">
        <v>45210</v>
      </c>
      <c r="D5761" t="inlineStr">
        <is>
          <t>DALARNAS LÄN</t>
        </is>
      </c>
      <c r="E5761" t="inlineStr">
        <is>
          <t>ÄLVDALEN</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28029-2023</t>
        </is>
      </c>
      <c r="B5762" s="1" t="n">
        <v>45099</v>
      </c>
      <c r="C5762" s="1" t="n">
        <v>45210</v>
      </c>
      <c r="D5762" t="inlineStr">
        <is>
          <t>DALARNAS LÄN</t>
        </is>
      </c>
      <c r="E5762" t="inlineStr">
        <is>
          <t>HEDEMORA</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28155-2023</t>
        </is>
      </c>
      <c r="B5763" s="1" t="n">
        <v>45099</v>
      </c>
      <c r="C5763" s="1" t="n">
        <v>45210</v>
      </c>
      <c r="D5763" t="inlineStr">
        <is>
          <t>DALARNAS LÄN</t>
        </is>
      </c>
      <c r="E5763" t="inlineStr">
        <is>
          <t>ORSA</t>
        </is>
      </c>
      <c r="F5763" t="inlineStr">
        <is>
          <t>Bergvik skog öst AB</t>
        </is>
      </c>
      <c r="G5763" t="n">
        <v>7.8</v>
      </c>
      <c r="H5763" t="n">
        <v>0</v>
      </c>
      <c r="I5763" t="n">
        <v>0</v>
      </c>
      <c r="J5763" t="n">
        <v>0</v>
      </c>
      <c r="K5763" t="n">
        <v>0</v>
      </c>
      <c r="L5763" t="n">
        <v>0</v>
      </c>
      <c r="M5763" t="n">
        <v>0</v>
      </c>
      <c r="N5763" t="n">
        <v>0</v>
      </c>
      <c r="O5763" t="n">
        <v>0</v>
      </c>
      <c r="P5763" t="n">
        <v>0</v>
      </c>
      <c r="Q5763" t="n">
        <v>0</v>
      </c>
      <c r="R5763" s="2" t="inlineStr"/>
    </row>
    <row r="5764" ht="15" customHeight="1">
      <c r="A5764" t="inlineStr">
        <is>
          <t>A 28195-2023</t>
        </is>
      </c>
      <c r="B5764" s="1" t="n">
        <v>45099</v>
      </c>
      <c r="C5764" s="1" t="n">
        <v>45210</v>
      </c>
      <c r="D5764" t="inlineStr">
        <is>
          <t>DALARNAS LÄN</t>
        </is>
      </c>
      <c r="E5764" t="inlineStr">
        <is>
          <t>ORSA</t>
        </is>
      </c>
      <c r="F5764" t="inlineStr">
        <is>
          <t>Bergvik skog öst AB</t>
        </is>
      </c>
      <c r="G5764" t="n">
        <v>10.3</v>
      </c>
      <c r="H5764" t="n">
        <v>0</v>
      </c>
      <c r="I5764" t="n">
        <v>0</v>
      </c>
      <c r="J5764" t="n">
        <v>0</v>
      </c>
      <c r="K5764" t="n">
        <v>0</v>
      </c>
      <c r="L5764" t="n">
        <v>0</v>
      </c>
      <c r="M5764" t="n">
        <v>0</v>
      </c>
      <c r="N5764" t="n">
        <v>0</v>
      </c>
      <c r="O5764" t="n">
        <v>0</v>
      </c>
      <c r="P5764" t="n">
        <v>0</v>
      </c>
      <c r="Q5764" t="n">
        <v>0</v>
      </c>
      <c r="R5764" s="2" t="inlineStr"/>
    </row>
    <row r="5765" ht="15" customHeight="1">
      <c r="A5765" t="inlineStr">
        <is>
          <t>A 30464-2023</t>
        </is>
      </c>
      <c r="B5765" s="1" t="n">
        <v>45099</v>
      </c>
      <c r="C5765" s="1" t="n">
        <v>45210</v>
      </c>
      <c r="D5765" t="inlineStr">
        <is>
          <t>DALARNAS LÄN</t>
        </is>
      </c>
      <c r="E5765" t="inlineStr">
        <is>
          <t>ORSA</t>
        </is>
      </c>
      <c r="G5765" t="n">
        <v>1.2</v>
      </c>
      <c r="H5765" t="n">
        <v>0</v>
      </c>
      <c r="I5765" t="n">
        <v>0</v>
      </c>
      <c r="J5765" t="n">
        <v>0</v>
      </c>
      <c r="K5765" t="n">
        <v>0</v>
      </c>
      <c r="L5765" t="n">
        <v>0</v>
      </c>
      <c r="M5765" t="n">
        <v>0</v>
      </c>
      <c r="N5765" t="n">
        <v>0</v>
      </c>
      <c r="O5765" t="n">
        <v>0</v>
      </c>
      <c r="P5765" t="n">
        <v>0</v>
      </c>
      <c r="Q5765" t="n">
        <v>0</v>
      </c>
      <c r="R5765" s="2" t="inlineStr"/>
    </row>
    <row r="5766" ht="15" customHeight="1">
      <c r="A5766" t="inlineStr">
        <is>
          <t>A 28438-2023</t>
        </is>
      </c>
      <c r="B5766" s="1" t="n">
        <v>45102</v>
      </c>
      <c r="C5766" s="1" t="n">
        <v>45210</v>
      </c>
      <c r="D5766" t="inlineStr">
        <is>
          <t>DALARNAS LÄN</t>
        </is>
      </c>
      <c r="E5766" t="inlineStr">
        <is>
          <t>SMEDJEBACKEN</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28649-2023</t>
        </is>
      </c>
      <c r="B5767" s="1" t="n">
        <v>45103</v>
      </c>
      <c r="C5767" s="1" t="n">
        <v>45210</v>
      </c>
      <c r="D5767" t="inlineStr">
        <is>
          <t>DALARNAS LÄN</t>
        </is>
      </c>
      <c r="E5767" t="inlineStr">
        <is>
          <t>FALUN</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28664-2023</t>
        </is>
      </c>
      <c r="B5768" s="1" t="n">
        <v>45103</v>
      </c>
      <c r="C5768" s="1" t="n">
        <v>45210</v>
      </c>
      <c r="D5768" t="inlineStr">
        <is>
          <t>DALARNAS LÄN</t>
        </is>
      </c>
      <c r="E5768" t="inlineStr">
        <is>
          <t>ÄLVDALEN</t>
        </is>
      </c>
      <c r="F5768" t="inlineStr">
        <is>
          <t>Allmännings- och besparingsskogar</t>
        </is>
      </c>
      <c r="G5768" t="n">
        <v>4.2</v>
      </c>
      <c r="H5768" t="n">
        <v>0</v>
      </c>
      <c r="I5768" t="n">
        <v>0</v>
      </c>
      <c r="J5768" t="n">
        <v>0</v>
      </c>
      <c r="K5768" t="n">
        <v>0</v>
      </c>
      <c r="L5768" t="n">
        <v>0</v>
      </c>
      <c r="M5768" t="n">
        <v>0</v>
      </c>
      <c r="N5768" t="n">
        <v>0</v>
      </c>
      <c r="O5768" t="n">
        <v>0</v>
      </c>
      <c r="P5768" t="n">
        <v>0</v>
      </c>
      <c r="Q5768" t="n">
        <v>0</v>
      </c>
      <c r="R5768" s="2" t="inlineStr"/>
    </row>
    <row r="5769" ht="15" customHeight="1">
      <c r="A5769" t="inlineStr">
        <is>
          <t>A 31138-2023</t>
        </is>
      </c>
      <c r="B5769" s="1" t="n">
        <v>45103</v>
      </c>
      <c r="C5769" s="1" t="n">
        <v>45210</v>
      </c>
      <c r="D5769" t="inlineStr">
        <is>
          <t>DALARNAS LÄN</t>
        </is>
      </c>
      <c r="E5769" t="inlineStr">
        <is>
          <t>AVESTA</t>
        </is>
      </c>
      <c r="F5769" t="inlineStr">
        <is>
          <t>Bergvik skog väst AB</t>
        </is>
      </c>
      <c r="G5769" t="n">
        <v>4.3</v>
      </c>
      <c r="H5769" t="n">
        <v>0</v>
      </c>
      <c r="I5769" t="n">
        <v>0</v>
      </c>
      <c r="J5769" t="n">
        <v>0</v>
      </c>
      <c r="K5769" t="n">
        <v>0</v>
      </c>
      <c r="L5769" t="n">
        <v>0</v>
      </c>
      <c r="M5769" t="n">
        <v>0</v>
      </c>
      <c r="N5769" t="n">
        <v>0</v>
      </c>
      <c r="O5769" t="n">
        <v>0</v>
      </c>
      <c r="P5769" t="n">
        <v>0</v>
      </c>
      <c r="Q5769" t="n">
        <v>0</v>
      </c>
      <c r="R5769" s="2" t="inlineStr"/>
    </row>
    <row r="5770" ht="15" customHeight="1">
      <c r="A5770" t="inlineStr">
        <is>
          <t>A 31116-2023</t>
        </is>
      </c>
      <c r="B5770" s="1" t="n">
        <v>45103</v>
      </c>
      <c r="C5770" s="1" t="n">
        <v>45210</v>
      </c>
      <c r="D5770" t="inlineStr">
        <is>
          <t>DALARNAS LÄN</t>
        </is>
      </c>
      <c r="E5770" t="inlineStr">
        <is>
          <t>AVESTA</t>
        </is>
      </c>
      <c r="F5770" t="inlineStr">
        <is>
          <t>Bergvik skog väst AB</t>
        </is>
      </c>
      <c r="G5770" t="n">
        <v>37.2</v>
      </c>
      <c r="H5770" t="n">
        <v>0</v>
      </c>
      <c r="I5770" t="n">
        <v>0</v>
      </c>
      <c r="J5770" t="n">
        <v>0</v>
      </c>
      <c r="K5770" t="n">
        <v>0</v>
      </c>
      <c r="L5770" t="n">
        <v>0</v>
      </c>
      <c r="M5770" t="n">
        <v>0</v>
      </c>
      <c r="N5770" t="n">
        <v>0</v>
      </c>
      <c r="O5770" t="n">
        <v>0</v>
      </c>
      <c r="P5770" t="n">
        <v>0</v>
      </c>
      <c r="Q5770" t="n">
        <v>0</v>
      </c>
      <c r="R5770" s="2" t="inlineStr"/>
    </row>
    <row r="5771" ht="15" customHeight="1">
      <c r="A5771" t="inlineStr">
        <is>
          <t>A 31151-2023</t>
        </is>
      </c>
      <c r="B5771" s="1" t="n">
        <v>45103</v>
      </c>
      <c r="C5771" s="1" t="n">
        <v>45210</v>
      </c>
      <c r="D5771" t="inlineStr">
        <is>
          <t>DALARNAS LÄN</t>
        </is>
      </c>
      <c r="E5771" t="inlineStr">
        <is>
          <t>SMEDJEBACKEN</t>
        </is>
      </c>
      <c r="F5771" t="inlineStr">
        <is>
          <t>Bergvik skog väst AB</t>
        </is>
      </c>
      <c r="G5771" t="n">
        <v>4.2</v>
      </c>
      <c r="H5771" t="n">
        <v>0</v>
      </c>
      <c r="I5771" t="n">
        <v>0</v>
      </c>
      <c r="J5771" t="n">
        <v>0</v>
      </c>
      <c r="K5771" t="n">
        <v>0</v>
      </c>
      <c r="L5771" t="n">
        <v>0</v>
      </c>
      <c r="M5771" t="n">
        <v>0</v>
      </c>
      <c r="N5771" t="n">
        <v>0</v>
      </c>
      <c r="O5771" t="n">
        <v>0</v>
      </c>
      <c r="P5771" t="n">
        <v>0</v>
      </c>
      <c r="Q5771" t="n">
        <v>0</v>
      </c>
      <c r="R5771" s="2" t="inlineStr"/>
    </row>
    <row r="5772" ht="15" customHeight="1">
      <c r="A5772" t="inlineStr">
        <is>
          <t>A 28578-2023</t>
        </is>
      </c>
      <c r="B5772" s="1" t="n">
        <v>45103</v>
      </c>
      <c r="C5772" s="1" t="n">
        <v>45210</v>
      </c>
      <c r="D5772" t="inlineStr">
        <is>
          <t>DALARNAS LÄN</t>
        </is>
      </c>
      <c r="E5772" t="inlineStr">
        <is>
          <t>LEKSAND</t>
        </is>
      </c>
      <c r="G5772" t="n">
        <v>4.4</v>
      </c>
      <c r="H5772" t="n">
        <v>0</v>
      </c>
      <c r="I5772" t="n">
        <v>0</v>
      </c>
      <c r="J5772" t="n">
        <v>0</v>
      </c>
      <c r="K5772" t="n">
        <v>0</v>
      </c>
      <c r="L5772" t="n">
        <v>0</v>
      </c>
      <c r="M5772" t="n">
        <v>0</v>
      </c>
      <c r="N5772" t="n">
        <v>0</v>
      </c>
      <c r="O5772" t="n">
        <v>0</v>
      </c>
      <c r="P5772" t="n">
        <v>0</v>
      </c>
      <c r="Q5772" t="n">
        <v>0</v>
      </c>
      <c r="R5772" s="2" t="inlineStr"/>
    </row>
    <row r="5773" ht="15" customHeight="1">
      <c r="A5773" t="inlineStr">
        <is>
          <t>A 28592-2023</t>
        </is>
      </c>
      <c r="B5773" s="1" t="n">
        <v>45103</v>
      </c>
      <c r="C5773" s="1" t="n">
        <v>45210</v>
      </c>
      <c r="D5773" t="inlineStr">
        <is>
          <t>DALARNAS LÄN</t>
        </is>
      </c>
      <c r="E5773" t="inlineStr">
        <is>
          <t>LEKSAND</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28639-2023</t>
        </is>
      </c>
      <c r="B5774" s="1" t="n">
        <v>45103</v>
      </c>
      <c r="C5774" s="1" t="n">
        <v>45210</v>
      </c>
      <c r="D5774" t="inlineStr">
        <is>
          <t>DALARNAS LÄN</t>
        </is>
      </c>
      <c r="E5774" t="inlineStr">
        <is>
          <t>FALUN</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28711-2023</t>
        </is>
      </c>
      <c r="B5775" s="1" t="n">
        <v>45103</v>
      </c>
      <c r="C5775" s="1" t="n">
        <v>45210</v>
      </c>
      <c r="D5775" t="inlineStr">
        <is>
          <t>DALARNAS LÄN</t>
        </is>
      </c>
      <c r="E5775" t="inlineStr">
        <is>
          <t>SMEDJEBACKEN</t>
        </is>
      </c>
      <c r="G5775" t="n">
        <v>3.6</v>
      </c>
      <c r="H5775" t="n">
        <v>0</v>
      </c>
      <c r="I5775" t="n">
        <v>0</v>
      </c>
      <c r="J5775" t="n">
        <v>0</v>
      </c>
      <c r="K5775" t="n">
        <v>0</v>
      </c>
      <c r="L5775" t="n">
        <v>0</v>
      </c>
      <c r="M5775" t="n">
        <v>0</v>
      </c>
      <c r="N5775" t="n">
        <v>0</v>
      </c>
      <c r="O5775" t="n">
        <v>0</v>
      </c>
      <c r="P5775" t="n">
        <v>0</v>
      </c>
      <c r="Q5775" t="n">
        <v>0</v>
      </c>
      <c r="R5775" s="2" t="inlineStr"/>
    </row>
    <row r="5776" ht="15" customHeight="1">
      <c r="A5776" t="inlineStr">
        <is>
          <t>A 31136-2023</t>
        </is>
      </c>
      <c r="B5776" s="1" t="n">
        <v>45103</v>
      </c>
      <c r="C5776" s="1" t="n">
        <v>45210</v>
      </c>
      <c r="D5776" t="inlineStr">
        <is>
          <t>DALARNAS LÄN</t>
        </is>
      </c>
      <c r="E5776" t="inlineStr">
        <is>
          <t>AVESTA</t>
        </is>
      </c>
      <c r="F5776" t="inlineStr">
        <is>
          <t>Bergvik skog väst AB</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29022-2023</t>
        </is>
      </c>
      <c r="B5777" s="1" t="n">
        <v>45104</v>
      </c>
      <c r="C5777" s="1" t="n">
        <v>45210</v>
      </c>
      <c r="D5777" t="inlineStr">
        <is>
          <t>DALARNAS LÄN</t>
        </is>
      </c>
      <c r="E5777" t="inlineStr">
        <is>
          <t>MORA</t>
        </is>
      </c>
      <c r="G5777" t="n">
        <v>0.7</v>
      </c>
      <c r="H5777" t="n">
        <v>0</v>
      </c>
      <c r="I5777" t="n">
        <v>0</v>
      </c>
      <c r="J5777" t="n">
        <v>0</v>
      </c>
      <c r="K5777" t="n">
        <v>0</v>
      </c>
      <c r="L5777" t="n">
        <v>0</v>
      </c>
      <c r="M5777" t="n">
        <v>0</v>
      </c>
      <c r="N5777" t="n">
        <v>0</v>
      </c>
      <c r="O5777" t="n">
        <v>0</v>
      </c>
      <c r="P5777" t="n">
        <v>0</v>
      </c>
      <c r="Q5777" t="n">
        <v>0</v>
      </c>
      <c r="R5777" s="2" t="inlineStr"/>
    </row>
    <row r="5778" ht="15" customHeight="1">
      <c r="A5778" t="inlineStr">
        <is>
          <t>A 29041-2023</t>
        </is>
      </c>
      <c r="B5778" s="1" t="n">
        <v>45104</v>
      </c>
      <c r="C5778" s="1" t="n">
        <v>45210</v>
      </c>
      <c r="D5778" t="inlineStr">
        <is>
          <t>DALARNAS LÄN</t>
        </is>
      </c>
      <c r="E5778" t="inlineStr">
        <is>
          <t>ORSA</t>
        </is>
      </c>
      <c r="G5778" t="n">
        <v>3.2</v>
      </c>
      <c r="H5778" t="n">
        <v>0</v>
      </c>
      <c r="I5778" t="n">
        <v>0</v>
      </c>
      <c r="J5778" t="n">
        <v>0</v>
      </c>
      <c r="K5778" t="n">
        <v>0</v>
      </c>
      <c r="L5778" t="n">
        <v>0</v>
      </c>
      <c r="M5778" t="n">
        <v>0</v>
      </c>
      <c r="N5778" t="n">
        <v>0</v>
      </c>
      <c r="O5778" t="n">
        <v>0</v>
      </c>
      <c r="P5778" t="n">
        <v>0</v>
      </c>
      <c r="Q5778" t="n">
        <v>0</v>
      </c>
      <c r="R5778" s="2" t="inlineStr"/>
    </row>
    <row r="5779" ht="15" customHeight="1">
      <c r="A5779" t="inlineStr">
        <is>
          <t>A 29050-2023</t>
        </is>
      </c>
      <c r="B5779" s="1" t="n">
        <v>45104</v>
      </c>
      <c r="C5779" s="1" t="n">
        <v>45210</v>
      </c>
      <c r="D5779" t="inlineStr">
        <is>
          <t>DALARNAS LÄN</t>
        </is>
      </c>
      <c r="E5779" t="inlineStr">
        <is>
          <t>HEDEMORA</t>
        </is>
      </c>
      <c r="F5779" t="inlineStr">
        <is>
          <t>Sveaskog</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31424-2023</t>
        </is>
      </c>
      <c r="B5780" s="1" t="n">
        <v>45104</v>
      </c>
      <c r="C5780" s="1" t="n">
        <v>45210</v>
      </c>
      <c r="D5780" t="inlineStr">
        <is>
          <t>DALARNAS LÄN</t>
        </is>
      </c>
      <c r="E5780" t="inlineStr">
        <is>
          <t>RÄTTVIK</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28934-2023</t>
        </is>
      </c>
      <c r="B5781" s="1" t="n">
        <v>45104</v>
      </c>
      <c r="C5781" s="1" t="n">
        <v>45210</v>
      </c>
      <c r="D5781" t="inlineStr">
        <is>
          <t>DALARNAS LÄN</t>
        </is>
      </c>
      <c r="E5781" t="inlineStr">
        <is>
          <t>MORA</t>
        </is>
      </c>
      <c r="G5781" t="n">
        <v>8.800000000000001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28946-2023</t>
        </is>
      </c>
      <c r="B5782" s="1" t="n">
        <v>45104</v>
      </c>
      <c r="C5782" s="1" t="n">
        <v>45210</v>
      </c>
      <c r="D5782" t="inlineStr">
        <is>
          <t>DALARNAS LÄN</t>
        </is>
      </c>
      <c r="E5782" t="inlineStr">
        <is>
          <t>LEKSAND</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28965-2023</t>
        </is>
      </c>
      <c r="B5783" s="1" t="n">
        <v>45104</v>
      </c>
      <c r="C5783" s="1" t="n">
        <v>45210</v>
      </c>
      <c r="D5783" t="inlineStr">
        <is>
          <t>DALARNAS LÄN</t>
        </is>
      </c>
      <c r="E5783" t="inlineStr">
        <is>
          <t>LEKSAND</t>
        </is>
      </c>
      <c r="F5783" t="inlineStr">
        <is>
          <t>Bergvik skog väst AB</t>
        </is>
      </c>
      <c r="G5783" t="n">
        <v>0.9</v>
      </c>
      <c r="H5783" t="n">
        <v>0</v>
      </c>
      <c r="I5783" t="n">
        <v>0</v>
      </c>
      <c r="J5783" t="n">
        <v>0</v>
      </c>
      <c r="K5783" t="n">
        <v>0</v>
      </c>
      <c r="L5783" t="n">
        <v>0</v>
      </c>
      <c r="M5783" t="n">
        <v>0</v>
      </c>
      <c r="N5783" t="n">
        <v>0</v>
      </c>
      <c r="O5783" t="n">
        <v>0</v>
      </c>
      <c r="P5783" t="n">
        <v>0</v>
      </c>
      <c r="Q5783" t="n">
        <v>0</v>
      </c>
      <c r="R5783" s="2" t="inlineStr"/>
    </row>
    <row r="5784" ht="15" customHeight="1">
      <c r="A5784" t="inlineStr">
        <is>
          <t>A 31401-2023</t>
        </is>
      </c>
      <c r="B5784" s="1" t="n">
        <v>45104</v>
      </c>
      <c r="C5784" s="1" t="n">
        <v>45210</v>
      </c>
      <c r="D5784" t="inlineStr">
        <is>
          <t>DALARNAS LÄN</t>
        </is>
      </c>
      <c r="E5784" t="inlineStr">
        <is>
          <t>LEKSAND</t>
        </is>
      </c>
      <c r="G5784" t="n">
        <v>4.9</v>
      </c>
      <c r="H5784" t="n">
        <v>0</v>
      </c>
      <c r="I5784" t="n">
        <v>0</v>
      </c>
      <c r="J5784" t="n">
        <v>0</v>
      </c>
      <c r="K5784" t="n">
        <v>0</v>
      </c>
      <c r="L5784" t="n">
        <v>0</v>
      </c>
      <c r="M5784" t="n">
        <v>0</v>
      </c>
      <c r="N5784" t="n">
        <v>0</v>
      </c>
      <c r="O5784" t="n">
        <v>0</v>
      </c>
      <c r="P5784" t="n">
        <v>0</v>
      </c>
      <c r="Q5784" t="n">
        <v>0</v>
      </c>
      <c r="R5784" s="2" t="inlineStr"/>
    </row>
    <row r="5785" ht="15" customHeight="1">
      <c r="A5785" t="inlineStr">
        <is>
          <t>A 28935-2023</t>
        </is>
      </c>
      <c r="B5785" s="1" t="n">
        <v>45104</v>
      </c>
      <c r="C5785" s="1" t="n">
        <v>45210</v>
      </c>
      <c r="D5785" t="inlineStr">
        <is>
          <t>DALARNAS LÄN</t>
        </is>
      </c>
      <c r="E5785" t="inlineStr">
        <is>
          <t>LEKSAND</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28921-2023</t>
        </is>
      </c>
      <c r="B5786" s="1" t="n">
        <v>45104</v>
      </c>
      <c r="C5786" s="1" t="n">
        <v>45210</v>
      </c>
      <c r="D5786" t="inlineStr">
        <is>
          <t>DALARNAS LÄN</t>
        </is>
      </c>
      <c r="E5786" t="inlineStr">
        <is>
          <t>LEKSAND</t>
        </is>
      </c>
      <c r="G5786" t="n">
        <v>4.4</v>
      </c>
      <c r="H5786" t="n">
        <v>0</v>
      </c>
      <c r="I5786" t="n">
        <v>0</v>
      </c>
      <c r="J5786" t="n">
        <v>0</v>
      </c>
      <c r="K5786" t="n">
        <v>0</v>
      </c>
      <c r="L5786" t="n">
        <v>0</v>
      </c>
      <c r="M5786" t="n">
        <v>0</v>
      </c>
      <c r="N5786" t="n">
        <v>0</v>
      </c>
      <c r="O5786" t="n">
        <v>0</v>
      </c>
      <c r="P5786" t="n">
        <v>0</v>
      </c>
      <c r="Q5786" t="n">
        <v>0</v>
      </c>
      <c r="R5786" s="2" t="inlineStr"/>
    </row>
    <row r="5787" ht="15" customHeight="1">
      <c r="A5787" t="inlineStr">
        <is>
          <t>A 28954-2023</t>
        </is>
      </c>
      <c r="B5787" s="1" t="n">
        <v>45104</v>
      </c>
      <c r="C5787" s="1" t="n">
        <v>45210</v>
      </c>
      <c r="D5787" t="inlineStr">
        <is>
          <t>DALARNAS LÄN</t>
        </is>
      </c>
      <c r="E5787" t="inlineStr">
        <is>
          <t>FALUN</t>
        </is>
      </c>
      <c r="G5787" t="n">
        <v>9.1</v>
      </c>
      <c r="H5787" t="n">
        <v>0</v>
      </c>
      <c r="I5787" t="n">
        <v>0</v>
      </c>
      <c r="J5787" t="n">
        <v>0</v>
      </c>
      <c r="K5787" t="n">
        <v>0</v>
      </c>
      <c r="L5787" t="n">
        <v>0</v>
      </c>
      <c r="M5787" t="n">
        <v>0</v>
      </c>
      <c r="N5787" t="n">
        <v>0</v>
      </c>
      <c r="O5787" t="n">
        <v>0</v>
      </c>
      <c r="P5787" t="n">
        <v>0</v>
      </c>
      <c r="Q5787" t="n">
        <v>0</v>
      </c>
      <c r="R5787" s="2" t="inlineStr"/>
    </row>
    <row r="5788" ht="15" customHeight="1">
      <c r="A5788" t="inlineStr">
        <is>
          <t>A 28998-2023</t>
        </is>
      </c>
      <c r="B5788" s="1" t="n">
        <v>45104</v>
      </c>
      <c r="C5788" s="1" t="n">
        <v>45210</v>
      </c>
      <c r="D5788" t="inlineStr">
        <is>
          <t>DALARNAS LÄN</t>
        </is>
      </c>
      <c r="E5788" t="inlineStr">
        <is>
          <t>MALUNG-SÄLEN</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31422-2023</t>
        </is>
      </c>
      <c r="B5789" s="1" t="n">
        <v>45104</v>
      </c>
      <c r="C5789" s="1" t="n">
        <v>45210</v>
      </c>
      <c r="D5789" t="inlineStr">
        <is>
          <t>DALARNAS LÄN</t>
        </is>
      </c>
      <c r="E5789" t="inlineStr">
        <is>
          <t>LEKSAND</t>
        </is>
      </c>
      <c r="G5789" t="n">
        <v>1.5</v>
      </c>
      <c r="H5789" t="n">
        <v>0</v>
      </c>
      <c r="I5789" t="n">
        <v>0</v>
      </c>
      <c r="J5789" t="n">
        <v>0</v>
      </c>
      <c r="K5789" t="n">
        <v>0</v>
      </c>
      <c r="L5789" t="n">
        <v>0</v>
      </c>
      <c r="M5789" t="n">
        <v>0</v>
      </c>
      <c r="N5789" t="n">
        <v>0</v>
      </c>
      <c r="O5789" t="n">
        <v>0</v>
      </c>
      <c r="P5789" t="n">
        <v>0</v>
      </c>
      <c r="Q5789" t="n">
        <v>0</v>
      </c>
      <c r="R5789" s="2" t="inlineStr"/>
    </row>
    <row r="5790" ht="15" customHeight="1">
      <c r="A5790" t="inlineStr">
        <is>
          <t>A 29084-2023</t>
        </is>
      </c>
      <c r="B5790" s="1" t="n">
        <v>45105</v>
      </c>
      <c r="C5790" s="1" t="n">
        <v>45210</v>
      </c>
      <c r="D5790" t="inlineStr">
        <is>
          <t>DALARNAS LÄN</t>
        </is>
      </c>
      <c r="E5790" t="inlineStr">
        <is>
          <t>FALUN</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29118-2023</t>
        </is>
      </c>
      <c r="B5791" s="1" t="n">
        <v>45105</v>
      </c>
      <c r="C5791" s="1" t="n">
        <v>45210</v>
      </c>
      <c r="D5791" t="inlineStr">
        <is>
          <t>DALARNAS LÄN</t>
        </is>
      </c>
      <c r="E5791" t="inlineStr">
        <is>
          <t>MORA</t>
        </is>
      </c>
      <c r="G5791" t="n">
        <v>9.800000000000001</v>
      </c>
      <c r="H5791" t="n">
        <v>0</v>
      </c>
      <c r="I5791" t="n">
        <v>0</v>
      </c>
      <c r="J5791" t="n">
        <v>0</v>
      </c>
      <c r="K5791" t="n">
        <v>0</v>
      </c>
      <c r="L5791" t="n">
        <v>0</v>
      </c>
      <c r="M5791" t="n">
        <v>0</v>
      </c>
      <c r="N5791" t="n">
        <v>0</v>
      </c>
      <c r="O5791" t="n">
        <v>0</v>
      </c>
      <c r="P5791" t="n">
        <v>0</v>
      </c>
      <c r="Q5791" t="n">
        <v>0</v>
      </c>
      <c r="R5791" s="2" t="inlineStr"/>
    </row>
    <row r="5792" ht="15" customHeight="1">
      <c r="A5792" t="inlineStr">
        <is>
          <t>A 29303-2023</t>
        </is>
      </c>
      <c r="B5792" s="1" t="n">
        <v>45105</v>
      </c>
      <c r="C5792" s="1" t="n">
        <v>45210</v>
      </c>
      <c r="D5792" t="inlineStr">
        <is>
          <t>DALARNAS LÄN</t>
        </is>
      </c>
      <c r="E5792" t="inlineStr">
        <is>
          <t>HEDEMORA</t>
        </is>
      </c>
      <c r="F5792" t="inlineStr">
        <is>
          <t>Sveaskog</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29122-2023</t>
        </is>
      </c>
      <c r="B5793" s="1" t="n">
        <v>45105</v>
      </c>
      <c r="C5793" s="1" t="n">
        <v>45210</v>
      </c>
      <c r="D5793" t="inlineStr">
        <is>
          <t>DALARNAS LÄN</t>
        </is>
      </c>
      <c r="E5793" t="inlineStr">
        <is>
          <t>LEKSAND</t>
        </is>
      </c>
      <c r="G5793" t="n">
        <v>2</v>
      </c>
      <c r="H5793" t="n">
        <v>0</v>
      </c>
      <c r="I5793" t="n">
        <v>0</v>
      </c>
      <c r="J5793" t="n">
        <v>0</v>
      </c>
      <c r="K5793" t="n">
        <v>0</v>
      </c>
      <c r="L5793" t="n">
        <v>0</v>
      </c>
      <c r="M5793" t="n">
        <v>0</v>
      </c>
      <c r="N5793" t="n">
        <v>0</v>
      </c>
      <c r="O5793" t="n">
        <v>0</v>
      </c>
      <c r="P5793" t="n">
        <v>0</v>
      </c>
      <c r="Q5793" t="n">
        <v>0</v>
      </c>
      <c r="R5793" s="2" t="inlineStr"/>
    </row>
    <row r="5794" ht="15" customHeight="1">
      <c r="A5794" t="inlineStr">
        <is>
          <t>A 29222-2023</t>
        </is>
      </c>
      <c r="B5794" s="1" t="n">
        <v>45105</v>
      </c>
      <c r="C5794" s="1" t="n">
        <v>45210</v>
      </c>
      <c r="D5794" t="inlineStr">
        <is>
          <t>DALARNAS LÄN</t>
        </is>
      </c>
      <c r="E5794" t="inlineStr">
        <is>
          <t>LEKSAND</t>
        </is>
      </c>
      <c r="G5794" t="n">
        <v>5</v>
      </c>
      <c r="H5794" t="n">
        <v>0</v>
      </c>
      <c r="I5794" t="n">
        <v>0</v>
      </c>
      <c r="J5794" t="n">
        <v>0</v>
      </c>
      <c r="K5794" t="n">
        <v>0</v>
      </c>
      <c r="L5794" t="n">
        <v>0</v>
      </c>
      <c r="M5794" t="n">
        <v>0</v>
      </c>
      <c r="N5794" t="n">
        <v>0</v>
      </c>
      <c r="O5794" t="n">
        <v>0</v>
      </c>
      <c r="P5794" t="n">
        <v>0</v>
      </c>
      <c r="Q5794" t="n">
        <v>0</v>
      </c>
      <c r="R5794" s="2" t="inlineStr"/>
    </row>
    <row r="5795" ht="15" customHeight="1">
      <c r="A5795" t="inlineStr">
        <is>
          <t>A 31578-2023</t>
        </is>
      </c>
      <c r="B5795" s="1" t="n">
        <v>45105</v>
      </c>
      <c r="C5795" s="1" t="n">
        <v>45210</v>
      </c>
      <c r="D5795" t="inlineStr">
        <is>
          <t>DALARNAS LÄN</t>
        </is>
      </c>
      <c r="E5795" t="inlineStr">
        <is>
          <t>SÄTER</t>
        </is>
      </c>
      <c r="G5795" t="n">
        <v>2.5</v>
      </c>
      <c r="H5795" t="n">
        <v>0</v>
      </c>
      <c r="I5795" t="n">
        <v>0</v>
      </c>
      <c r="J5795" t="n">
        <v>0</v>
      </c>
      <c r="K5795" t="n">
        <v>0</v>
      </c>
      <c r="L5795" t="n">
        <v>0</v>
      </c>
      <c r="M5795" t="n">
        <v>0</v>
      </c>
      <c r="N5795" t="n">
        <v>0</v>
      </c>
      <c r="O5795" t="n">
        <v>0</v>
      </c>
      <c r="P5795" t="n">
        <v>0</v>
      </c>
      <c r="Q5795" t="n">
        <v>0</v>
      </c>
      <c r="R5795" s="2" t="inlineStr"/>
    </row>
    <row r="5796" ht="15" customHeight="1">
      <c r="A5796" t="inlineStr">
        <is>
          <t>A 31702-2023</t>
        </is>
      </c>
      <c r="B5796" s="1" t="n">
        <v>45105</v>
      </c>
      <c r="C5796" s="1" t="n">
        <v>45210</v>
      </c>
      <c r="D5796" t="inlineStr">
        <is>
          <t>DALARNAS LÄN</t>
        </is>
      </c>
      <c r="E5796" t="inlineStr">
        <is>
          <t>LUDVIKA</t>
        </is>
      </c>
      <c r="G5796" t="n">
        <v>2.3</v>
      </c>
      <c r="H5796" t="n">
        <v>0</v>
      </c>
      <c r="I5796" t="n">
        <v>0</v>
      </c>
      <c r="J5796" t="n">
        <v>0</v>
      </c>
      <c r="K5796" t="n">
        <v>0</v>
      </c>
      <c r="L5796" t="n">
        <v>0</v>
      </c>
      <c r="M5796" t="n">
        <v>0</v>
      </c>
      <c r="N5796" t="n">
        <v>0</v>
      </c>
      <c r="O5796" t="n">
        <v>0</v>
      </c>
      <c r="P5796" t="n">
        <v>0</v>
      </c>
      <c r="Q5796" t="n">
        <v>0</v>
      </c>
      <c r="R5796" s="2" t="inlineStr"/>
    </row>
    <row r="5797" ht="15" customHeight="1">
      <c r="A5797" t="inlineStr">
        <is>
          <t>A 29141-2023</t>
        </is>
      </c>
      <c r="B5797" s="1" t="n">
        <v>45105</v>
      </c>
      <c r="C5797" s="1" t="n">
        <v>45210</v>
      </c>
      <c r="D5797" t="inlineStr">
        <is>
          <t>DALARNAS LÄN</t>
        </is>
      </c>
      <c r="E5797" t="inlineStr">
        <is>
          <t>RÄTTVIK</t>
        </is>
      </c>
      <c r="G5797" t="n">
        <v>1.4</v>
      </c>
      <c r="H5797" t="n">
        <v>0</v>
      </c>
      <c r="I5797" t="n">
        <v>0</v>
      </c>
      <c r="J5797" t="n">
        <v>0</v>
      </c>
      <c r="K5797" t="n">
        <v>0</v>
      </c>
      <c r="L5797" t="n">
        <v>0</v>
      </c>
      <c r="M5797" t="n">
        <v>0</v>
      </c>
      <c r="N5797" t="n">
        <v>0</v>
      </c>
      <c r="O5797" t="n">
        <v>0</v>
      </c>
      <c r="P5797" t="n">
        <v>0</v>
      </c>
      <c r="Q5797" t="n">
        <v>0</v>
      </c>
      <c r="R5797" s="2" t="inlineStr"/>
    </row>
    <row r="5798" ht="15" customHeight="1">
      <c r="A5798" t="inlineStr">
        <is>
          <t>A 29251-2023</t>
        </is>
      </c>
      <c r="B5798" s="1" t="n">
        <v>45105</v>
      </c>
      <c r="C5798" s="1" t="n">
        <v>45210</v>
      </c>
      <c r="D5798" t="inlineStr">
        <is>
          <t>DALARNAS LÄN</t>
        </is>
      </c>
      <c r="E5798" t="inlineStr">
        <is>
          <t>ÄLVDALEN</t>
        </is>
      </c>
      <c r="F5798" t="inlineStr">
        <is>
          <t>Allmännings- och besparingsskogar</t>
        </is>
      </c>
      <c r="G5798" t="n">
        <v>18.6</v>
      </c>
      <c r="H5798" t="n">
        <v>0</v>
      </c>
      <c r="I5798" t="n">
        <v>0</v>
      </c>
      <c r="J5798" t="n">
        <v>0</v>
      </c>
      <c r="K5798" t="n">
        <v>0</v>
      </c>
      <c r="L5798" t="n">
        <v>0</v>
      </c>
      <c r="M5798" t="n">
        <v>0</v>
      </c>
      <c r="N5798" t="n">
        <v>0</v>
      </c>
      <c r="O5798" t="n">
        <v>0</v>
      </c>
      <c r="P5798" t="n">
        <v>0</v>
      </c>
      <c r="Q5798" t="n">
        <v>0</v>
      </c>
      <c r="R5798" s="2" t="inlineStr"/>
    </row>
    <row r="5799" ht="15" customHeight="1">
      <c r="A5799" t="inlineStr">
        <is>
          <t>A 29266-2023</t>
        </is>
      </c>
      <c r="B5799" s="1" t="n">
        <v>45105</v>
      </c>
      <c r="C5799" s="1" t="n">
        <v>45210</v>
      </c>
      <c r="D5799" t="inlineStr">
        <is>
          <t>DALARNAS LÄN</t>
        </is>
      </c>
      <c r="E5799" t="inlineStr">
        <is>
          <t>BORLÄNGE</t>
        </is>
      </c>
      <c r="F5799" t="inlineStr">
        <is>
          <t>Bergvik skog väst AB</t>
        </is>
      </c>
      <c r="G5799" t="n">
        <v>3.1</v>
      </c>
      <c r="H5799" t="n">
        <v>0</v>
      </c>
      <c r="I5799" t="n">
        <v>0</v>
      </c>
      <c r="J5799" t="n">
        <v>0</v>
      </c>
      <c r="K5799" t="n">
        <v>0</v>
      </c>
      <c r="L5799" t="n">
        <v>0</v>
      </c>
      <c r="M5799" t="n">
        <v>0</v>
      </c>
      <c r="N5799" t="n">
        <v>0</v>
      </c>
      <c r="O5799" t="n">
        <v>0</v>
      </c>
      <c r="P5799" t="n">
        <v>0</v>
      </c>
      <c r="Q5799" t="n">
        <v>0</v>
      </c>
      <c r="R5799" s="2" t="inlineStr"/>
    </row>
    <row r="5800" ht="15" customHeight="1">
      <c r="A5800" t="inlineStr">
        <is>
          <t>A 29302-2023</t>
        </is>
      </c>
      <c r="B5800" s="1" t="n">
        <v>45105</v>
      </c>
      <c r="C5800" s="1" t="n">
        <v>45210</v>
      </c>
      <c r="D5800" t="inlineStr">
        <is>
          <t>DALARNAS LÄN</t>
        </is>
      </c>
      <c r="E5800" t="inlineStr">
        <is>
          <t>SÄTER</t>
        </is>
      </c>
      <c r="F5800" t="inlineStr">
        <is>
          <t>Bergvik skog väst AB</t>
        </is>
      </c>
      <c r="G5800" t="n">
        <v>4.4</v>
      </c>
      <c r="H5800" t="n">
        <v>0</v>
      </c>
      <c r="I5800" t="n">
        <v>0</v>
      </c>
      <c r="J5800" t="n">
        <v>0</v>
      </c>
      <c r="K5800" t="n">
        <v>0</v>
      </c>
      <c r="L5800" t="n">
        <v>0</v>
      </c>
      <c r="M5800" t="n">
        <v>0</v>
      </c>
      <c r="N5800" t="n">
        <v>0</v>
      </c>
      <c r="O5800" t="n">
        <v>0</v>
      </c>
      <c r="P5800" t="n">
        <v>0</v>
      </c>
      <c r="Q5800" t="n">
        <v>0</v>
      </c>
      <c r="R5800" s="2" t="inlineStr"/>
    </row>
    <row r="5801" ht="15" customHeight="1">
      <c r="A5801" t="inlineStr">
        <is>
          <t>A 29116-2023</t>
        </is>
      </c>
      <c r="B5801" s="1" t="n">
        <v>45105</v>
      </c>
      <c r="C5801" s="1" t="n">
        <v>45210</v>
      </c>
      <c r="D5801" t="inlineStr">
        <is>
          <t>DALARNAS LÄN</t>
        </is>
      </c>
      <c r="E5801" t="inlineStr">
        <is>
          <t>MORA</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29301-2023</t>
        </is>
      </c>
      <c r="B5802" s="1" t="n">
        <v>45105</v>
      </c>
      <c r="C5802" s="1" t="n">
        <v>45210</v>
      </c>
      <c r="D5802" t="inlineStr">
        <is>
          <t>DALARNAS LÄN</t>
        </is>
      </c>
      <c r="E5802" t="inlineStr">
        <is>
          <t>HEDEMORA</t>
        </is>
      </c>
      <c r="F5802" t="inlineStr">
        <is>
          <t>Sveaskog</t>
        </is>
      </c>
      <c r="G5802" t="n">
        <v>1.7</v>
      </c>
      <c r="H5802" t="n">
        <v>0</v>
      </c>
      <c r="I5802" t="n">
        <v>0</v>
      </c>
      <c r="J5802" t="n">
        <v>0</v>
      </c>
      <c r="K5802" t="n">
        <v>0</v>
      </c>
      <c r="L5802" t="n">
        <v>0</v>
      </c>
      <c r="M5802" t="n">
        <v>0</v>
      </c>
      <c r="N5802" t="n">
        <v>0</v>
      </c>
      <c r="O5802" t="n">
        <v>0</v>
      </c>
      <c r="P5802" t="n">
        <v>0</v>
      </c>
      <c r="Q5802" t="n">
        <v>0</v>
      </c>
      <c r="R5802" s="2" t="inlineStr"/>
    </row>
    <row r="5803" ht="15" customHeight="1">
      <c r="A5803" t="inlineStr">
        <is>
          <t>A 31651-2023</t>
        </is>
      </c>
      <c r="B5803" s="1" t="n">
        <v>45105</v>
      </c>
      <c r="C5803" s="1" t="n">
        <v>45210</v>
      </c>
      <c r="D5803" t="inlineStr">
        <is>
          <t>DALARNAS LÄN</t>
        </is>
      </c>
      <c r="E5803" t="inlineStr">
        <is>
          <t>SÄTER</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29452-2023</t>
        </is>
      </c>
      <c r="B5804" s="1" t="n">
        <v>45106</v>
      </c>
      <c r="C5804" s="1" t="n">
        <v>45210</v>
      </c>
      <c r="D5804" t="inlineStr">
        <is>
          <t>DALARNAS LÄN</t>
        </is>
      </c>
      <c r="E5804" t="inlineStr">
        <is>
          <t>SMEDJEBACKEN</t>
        </is>
      </c>
      <c r="F5804" t="inlineStr">
        <is>
          <t>Sveaskog</t>
        </is>
      </c>
      <c r="G5804" t="n">
        <v>4.5</v>
      </c>
      <c r="H5804" t="n">
        <v>0</v>
      </c>
      <c r="I5804" t="n">
        <v>0</v>
      </c>
      <c r="J5804" t="n">
        <v>0</v>
      </c>
      <c r="K5804" t="n">
        <v>0</v>
      </c>
      <c r="L5804" t="n">
        <v>0</v>
      </c>
      <c r="M5804" t="n">
        <v>0</v>
      </c>
      <c r="N5804" t="n">
        <v>0</v>
      </c>
      <c r="O5804" t="n">
        <v>0</v>
      </c>
      <c r="P5804" t="n">
        <v>0</v>
      </c>
      <c r="Q5804" t="n">
        <v>0</v>
      </c>
      <c r="R5804" s="2" t="inlineStr"/>
    </row>
    <row r="5805" ht="15" customHeight="1">
      <c r="A5805" t="inlineStr">
        <is>
          <t>A 29410-2023</t>
        </is>
      </c>
      <c r="B5805" s="1" t="n">
        <v>45106</v>
      </c>
      <c r="C5805" s="1" t="n">
        <v>45210</v>
      </c>
      <c r="D5805" t="inlineStr">
        <is>
          <t>DALARNAS LÄN</t>
        </is>
      </c>
      <c r="E5805" t="inlineStr">
        <is>
          <t>ÄLVDALEN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29473-2023</t>
        </is>
      </c>
      <c r="B5806" s="1" t="n">
        <v>45106</v>
      </c>
      <c r="C5806" s="1" t="n">
        <v>45210</v>
      </c>
      <c r="D5806" t="inlineStr">
        <is>
          <t>DALARNAS LÄN</t>
        </is>
      </c>
      <c r="E5806" t="inlineStr">
        <is>
          <t>MALUNG-SÄLEN</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31857-2023</t>
        </is>
      </c>
      <c r="B5807" s="1" t="n">
        <v>45106</v>
      </c>
      <c r="C5807" s="1" t="n">
        <v>45210</v>
      </c>
      <c r="D5807" t="inlineStr">
        <is>
          <t>DALARNAS LÄN</t>
        </is>
      </c>
      <c r="E5807" t="inlineStr">
        <is>
          <t>ÄLVDALEN</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29744-2023</t>
        </is>
      </c>
      <c r="B5808" s="1" t="n">
        <v>45107</v>
      </c>
      <c r="C5808" s="1" t="n">
        <v>45210</v>
      </c>
      <c r="D5808" t="inlineStr">
        <is>
          <t>DALARNAS LÄN</t>
        </is>
      </c>
      <c r="E5808" t="inlineStr">
        <is>
          <t>RÄTTVIK</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29817-2023</t>
        </is>
      </c>
      <c r="B5809" s="1" t="n">
        <v>45107</v>
      </c>
      <c r="C5809" s="1" t="n">
        <v>45210</v>
      </c>
      <c r="D5809" t="inlineStr">
        <is>
          <t>DALARNAS LÄN</t>
        </is>
      </c>
      <c r="E5809" t="inlineStr">
        <is>
          <t>SMEDJEBACKEN</t>
        </is>
      </c>
      <c r="G5809" t="n">
        <v>7.2</v>
      </c>
      <c r="H5809" t="n">
        <v>0</v>
      </c>
      <c r="I5809" t="n">
        <v>0</v>
      </c>
      <c r="J5809" t="n">
        <v>0</v>
      </c>
      <c r="K5809" t="n">
        <v>0</v>
      </c>
      <c r="L5809" t="n">
        <v>0</v>
      </c>
      <c r="M5809" t="n">
        <v>0</v>
      </c>
      <c r="N5809" t="n">
        <v>0</v>
      </c>
      <c r="O5809" t="n">
        <v>0</v>
      </c>
      <c r="P5809" t="n">
        <v>0</v>
      </c>
      <c r="Q5809" t="n">
        <v>0</v>
      </c>
      <c r="R5809" s="2" t="inlineStr"/>
    </row>
    <row r="5810" ht="15" customHeight="1">
      <c r="A5810" t="inlineStr">
        <is>
          <t>A 29828-2023</t>
        </is>
      </c>
      <c r="B5810" s="1" t="n">
        <v>45107</v>
      </c>
      <c r="C5810" s="1" t="n">
        <v>45210</v>
      </c>
      <c r="D5810" t="inlineStr">
        <is>
          <t>DALARNAS LÄN</t>
        </is>
      </c>
      <c r="E5810" t="inlineStr">
        <is>
          <t>SÄTER</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32031-2023</t>
        </is>
      </c>
      <c r="B5811" s="1" t="n">
        <v>45107</v>
      </c>
      <c r="C5811" s="1" t="n">
        <v>45210</v>
      </c>
      <c r="D5811" t="inlineStr">
        <is>
          <t>DALARNAS LÄN</t>
        </is>
      </c>
      <c r="E5811" t="inlineStr">
        <is>
          <t>ÄLVDALEN</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32104-2023</t>
        </is>
      </c>
      <c r="B5812" s="1" t="n">
        <v>45107</v>
      </c>
      <c r="C5812" s="1" t="n">
        <v>45210</v>
      </c>
      <c r="D5812" t="inlineStr">
        <is>
          <t>DALARNAS LÄN</t>
        </is>
      </c>
      <c r="E5812" t="inlineStr">
        <is>
          <t>ÄLVDALEN</t>
        </is>
      </c>
      <c r="G5812" t="n">
        <v>4.6</v>
      </c>
      <c r="H5812" t="n">
        <v>0</v>
      </c>
      <c r="I5812" t="n">
        <v>0</v>
      </c>
      <c r="J5812" t="n">
        <v>0</v>
      </c>
      <c r="K5812" t="n">
        <v>0</v>
      </c>
      <c r="L5812" t="n">
        <v>0</v>
      </c>
      <c r="M5812" t="n">
        <v>0</v>
      </c>
      <c r="N5812" t="n">
        <v>0</v>
      </c>
      <c r="O5812" t="n">
        <v>0</v>
      </c>
      <c r="P5812" t="n">
        <v>0</v>
      </c>
      <c r="Q5812" t="n">
        <v>0</v>
      </c>
      <c r="R5812" s="2" t="inlineStr"/>
    </row>
    <row r="5813" ht="15" customHeight="1">
      <c r="A5813" t="inlineStr">
        <is>
          <t>A 29758-2023</t>
        </is>
      </c>
      <c r="B5813" s="1" t="n">
        <v>45107</v>
      </c>
      <c r="C5813" s="1" t="n">
        <v>45210</v>
      </c>
      <c r="D5813" t="inlineStr">
        <is>
          <t>DALARNAS LÄN</t>
        </is>
      </c>
      <c r="E5813" t="inlineStr">
        <is>
          <t>RÄTTVIK</t>
        </is>
      </c>
      <c r="G5813" t="n">
        <v>1.8</v>
      </c>
      <c r="H5813" t="n">
        <v>0</v>
      </c>
      <c r="I5813" t="n">
        <v>0</v>
      </c>
      <c r="J5813" t="n">
        <v>0</v>
      </c>
      <c r="K5813" t="n">
        <v>0</v>
      </c>
      <c r="L5813" t="n">
        <v>0</v>
      </c>
      <c r="M5813" t="n">
        <v>0</v>
      </c>
      <c r="N5813" t="n">
        <v>0</v>
      </c>
      <c r="O5813" t="n">
        <v>0</v>
      </c>
      <c r="P5813" t="n">
        <v>0</v>
      </c>
      <c r="Q5813" t="n">
        <v>0</v>
      </c>
      <c r="R5813" s="2" t="inlineStr"/>
    </row>
    <row r="5814" ht="15" customHeight="1">
      <c r="A5814" t="inlineStr">
        <is>
          <t>A 29743-2023</t>
        </is>
      </c>
      <c r="B5814" s="1" t="n">
        <v>45107</v>
      </c>
      <c r="C5814" s="1" t="n">
        <v>45210</v>
      </c>
      <c r="D5814" t="inlineStr">
        <is>
          <t>DALARNAS LÄN</t>
        </is>
      </c>
      <c r="E5814" t="inlineStr">
        <is>
          <t>SMEDJEBACKEN</t>
        </is>
      </c>
      <c r="G5814" t="n">
        <v>9.199999999999999</v>
      </c>
      <c r="H5814" t="n">
        <v>0</v>
      </c>
      <c r="I5814" t="n">
        <v>0</v>
      </c>
      <c r="J5814" t="n">
        <v>0</v>
      </c>
      <c r="K5814" t="n">
        <v>0</v>
      </c>
      <c r="L5814" t="n">
        <v>0</v>
      </c>
      <c r="M5814" t="n">
        <v>0</v>
      </c>
      <c r="N5814" t="n">
        <v>0</v>
      </c>
      <c r="O5814" t="n">
        <v>0</v>
      </c>
      <c r="P5814" t="n">
        <v>0</v>
      </c>
      <c r="Q5814" t="n">
        <v>0</v>
      </c>
      <c r="R5814" s="2" t="inlineStr"/>
    </row>
    <row r="5815" ht="15" customHeight="1">
      <c r="A5815" t="inlineStr">
        <is>
          <t>A 29869-2023</t>
        </is>
      </c>
      <c r="B5815" s="1" t="n">
        <v>45107</v>
      </c>
      <c r="C5815" s="1" t="n">
        <v>45210</v>
      </c>
      <c r="D5815" t="inlineStr">
        <is>
          <t>DALARNAS LÄN</t>
        </is>
      </c>
      <c r="E5815" t="inlineStr">
        <is>
          <t>FALUN</t>
        </is>
      </c>
      <c r="F5815" t="inlineStr">
        <is>
          <t>Bergvik skog väst AB</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29881-2023</t>
        </is>
      </c>
      <c r="B5816" s="1" t="n">
        <v>45107</v>
      </c>
      <c r="C5816" s="1" t="n">
        <v>45210</v>
      </c>
      <c r="D5816" t="inlineStr">
        <is>
          <t>DALARNAS LÄN</t>
        </is>
      </c>
      <c r="E5816" t="inlineStr">
        <is>
          <t>LEKSAND</t>
        </is>
      </c>
      <c r="F5816" t="inlineStr">
        <is>
          <t>Bergvik skog väst AB</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32261-2023</t>
        </is>
      </c>
      <c r="B5817" s="1" t="n">
        <v>45108</v>
      </c>
      <c r="C5817" s="1" t="n">
        <v>45210</v>
      </c>
      <c r="D5817" t="inlineStr">
        <is>
          <t>DALARNAS LÄN</t>
        </is>
      </c>
      <c r="E5817" t="inlineStr">
        <is>
          <t>LEKSAND</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30003-2023</t>
        </is>
      </c>
      <c r="B5818" s="1" t="n">
        <v>45109</v>
      </c>
      <c r="C5818" s="1" t="n">
        <v>45210</v>
      </c>
      <c r="D5818" t="inlineStr">
        <is>
          <t>DALARNAS LÄN</t>
        </is>
      </c>
      <c r="E5818" t="inlineStr">
        <is>
          <t>SMEDJEBACKEN</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30014-2023</t>
        </is>
      </c>
      <c r="B5819" s="1" t="n">
        <v>45109</v>
      </c>
      <c r="C5819" s="1" t="n">
        <v>45210</v>
      </c>
      <c r="D5819" t="inlineStr">
        <is>
          <t>DALARNAS LÄN</t>
        </is>
      </c>
      <c r="E5819" t="inlineStr">
        <is>
          <t>HEDEMORA</t>
        </is>
      </c>
      <c r="F5819" t="inlineStr">
        <is>
          <t>Sveaskog</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30005-2023</t>
        </is>
      </c>
      <c r="B5820" s="1" t="n">
        <v>45109</v>
      </c>
      <c r="C5820" s="1" t="n">
        <v>45210</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30013-2023</t>
        </is>
      </c>
      <c r="B5821" s="1" t="n">
        <v>45109</v>
      </c>
      <c r="C5821" s="1" t="n">
        <v>45210</v>
      </c>
      <c r="D5821" t="inlineStr">
        <is>
          <t>DALARNAS LÄN</t>
        </is>
      </c>
      <c r="E5821" t="inlineStr">
        <is>
          <t>HEDEMORA</t>
        </is>
      </c>
      <c r="F5821" t="inlineStr">
        <is>
          <t>Sveaskog</t>
        </is>
      </c>
      <c r="G5821" t="n">
        <v>0.8</v>
      </c>
      <c r="H5821" t="n">
        <v>0</v>
      </c>
      <c r="I5821" t="n">
        <v>0</v>
      </c>
      <c r="J5821" t="n">
        <v>0</v>
      </c>
      <c r="K5821" t="n">
        <v>0</v>
      </c>
      <c r="L5821" t="n">
        <v>0</v>
      </c>
      <c r="M5821" t="n">
        <v>0</v>
      </c>
      <c r="N5821" t="n">
        <v>0</v>
      </c>
      <c r="O5821" t="n">
        <v>0</v>
      </c>
      <c r="P5821" t="n">
        <v>0</v>
      </c>
      <c r="Q5821" t="n">
        <v>0</v>
      </c>
      <c r="R5821" s="2" t="inlineStr"/>
    </row>
    <row r="5822" ht="15" customHeight="1">
      <c r="A5822" t="inlineStr">
        <is>
          <t>A 30135-2023</t>
        </is>
      </c>
      <c r="B5822" s="1" t="n">
        <v>45110</v>
      </c>
      <c r="C5822" s="1" t="n">
        <v>45210</v>
      </c>
      <c r="D5822" t="inlineStr">
        <is>
          <t>DALARNAS LÄN</t>
        </is>
      </c>
      <c r="E5822" t="inlineStr">
        <is>
          <t>LEKSAND</t>
        </is>
      </c>
      <c r="F5822" t="inlineStr">
        <is>
          <t>Bergvik skog väst AB</t>
        </is>
      </c>
      <c r="G5822" t="n">
        <v>8.4</v>
      </c>
      <c r="H5822" t="n">
        <v>0</v>
      </c>
      <c r="I5822" t="n">
        <v>0</v>
      </c>
      <c r="J5822" t="n">
        <v>0</v>
      </c>
      <c r="K5822" t="n">
        <v>0</v>
      </c>
      <c r="L5822" t="n">
        <v>0</v>
      </c>
      <c r="M5822" t="n">
        <v>0</v>
      </c>
      <c r="N5822" t="n">
        <v>0</v>
      </c>
      <c r="O5822" t="n">
        <v>0</v>
      </c>
      <c r="P5822" t="n">
        <v>0</v>
      </c>
      <c r="Q5822" t="n">
        <v>0</v>
      </c>
      <c r="R5822" s="2" t="inlineStr"/>
    </row>
    <row r="5823" ht="15" customHeight="1">
      <c r="A5823" t="inlineStr">
        <is>
          <t>A 30175-2023</t>
        </is>
      </c>
      <c r="B5823" s="1" t="n">
        <v>45110</v>
      </c>
      <c r="C5823" s="1" t="n">
        <v>45210</v>
      </c>
      <c r="D5823" t="inlineStr">
        <is>
          <t>DALARNAS LÄN</t>
        </is>
      </c>
      <c r="E5823" t="inlineStr">
        <is>
          <t>LEKSAND</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30248-2023</t>
        </is>
      </c>
      <c r="B5824" s="1" t="n">
        <v>45110</v>
      </c>
      <c r="C5824" s="1" t="n">
        <v>45210</v>
      </c>
      <c r="D5824" t="inlineStr">
        <is>
          <t>DALARNAS LÄN</t>
        </is>
      </c>
      <c r="E5824" t="inlineStr">
        <is>
          <t>BORLÄNGE</t>
        </is>
      </c>
      <c r="G5824" t="n">
        <v>2.2</v>
      </c>
      <c r="H5824" t="n">
        <v>0</v>
      </c>
      <c r="I5824" t="n">
        <v>0</v>
      </c>
      <c r="J5824" t="n">
        <v>0</v>
      </c>
      <c r="K5824" t="n">
        <v>0</v>
      </c>
      <c r="L5824" t="n">
        <v>0</v>
      </c>
      <c r="M5824" t="n">
        <v>0</v>
      </c>
      <c r="N5824" t="n">
        <v>0</v>
      </c>
      <c r="O5824" t="n">
        <v>0</v>
      </c>
      <c r="P5824" t="n">
        <v>0</v>
      </c>
      <c r="Q5824" t="n">
        <v>0</v>
      </c>
      <c r="R5824" s="2" t="inlineStr"/>
    </row>
    <row r="5825" ht="15" customHeight="1">
      <c r="A5825" t="inlineStr">
        <is>
          <t>A 30053-2023</t>
        </is>
      </c>
      <c r="B5825" s="1" t="n">
        <v>45110</v>
      </c>
      <c r="C5825" s="1" t="n">
        <v>45210</v>
      </c>
      <c r="D5825" t="inlineStr">
        <is>
          <t>DALARNAS LÄN</t>
        </is>
      </c>
      <c r="E5825" t="inlineStr">
        <is>
          <t>LUDVIKA</t>
        </is>
      </c>
      <c r="F5825" t="inlineStr">
        <is>
          <t>Bergvik skog väst AB</t>
        </is>
      </c>
      <c r="G5825" t="n">
        <v>6.8</v>
      </c>
      <c r="H5825" t="n">
        <v>0</v>
      </c>
      <c r="I5825" t="n">
        <v>0</v>
      </c>
      <c r="J5825" t="n">
        <v>0</v>
      </c>
      <c r="K5825" t="n">
        <v>0</v>
      </c>
      <c r="L5825" t="n">
        <v>0</v>
      </c>
      <c r="M5825" t="n">
        <v>0</v>
      </c>
      <c r="N5825" t="n">
        <v>0</v>
      </c>
      <c r="O5825" t="n">
        <v>0</v>
      </c>
      <c r="P5825" t="n">
        <v>0</v>
      </c>
      <c r="Q5825" t="n">
        <v>0</v>
      </c>
      <c r="R5825" s="2" t="inlineStr"/>
    </row>
    <row r="5826" ht="15" customHeight="1">
      <c r="A5826" t="inlineStr">
        <is>
          <t>A 30130-2023</t>
        </is>
      </c>
      <c r="B5826" s="1" t="n">
        <v>45110</v>
      </c>
      <c r="C5826" s="1" t="n">
        <v>45210</v>
      </c>
      <c r="D5826" t="inlineStr">
        <is>
          <t>DALARNAS LÄN</t>
        </is>
      </c>
      <c r="E5826" t="inlineStr">
        <is>
          <t>SMEDJEBACKEN</t>
        </is>
      </c>
      <c r="F5826" t="inlineStr">
        <is>
          <t>Bergvik skog väst AB</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30196-2023</t>
        </is>
      </c>
      <c r="B5827" s="1" t="n">
        <v>45110</v>
      </c>
      <c r="C5827" s="1" t="n">
        <v>45210</v>
      </c>
      <c r="D5827" t="inlineStr">
        <is>
          <t>DALARNAS LÄN</t>
        </is>
      </c>
      <c r="E5827" t="inlineStr">
        <is>
          <t>LEKSAND</t>
        </is>
      </c>
      <c r="G5827" t="n">
        <v>1.2</v>
      </c>
      <c r="H5827" t="n">
        <v>0</v>
      </c>
      <c r="I5827" t="n">
        <v>0</v>
      </c>
      <c r="J5827" t="n">
        <v>0</v>
      </c>
      <c r="K5827" t="n">
        <v>0</v>
      </c>
      <c r="L5827" t="n">
        <v>0</v>
      </c>
      <c r="M5827" t="n">
        <v>0</v>
      </c>
      <c r="N5827" t="n">
        <v>0</v>
      </c>
      <c r="O5827" t="n">
        <v>0</v>
      </c>
      <c r="P5827" t="n">
        <v>0</v>
      </c>
      <c r="Q5827" t="n">
        <v>0</v>
      </c>
      <c r="R5827" s="2" t="inlineStr"/>
    </row>
    <row r="5828" ht="15" customHeight="1">
      <c r="A5828" t="inlineStr">
        <is>
          <t>A 30253-2023</t>
        </is>
      </c>
      <c r="B5828" s="1" t="n">
        <v>45110</v>
      </c>
      <c r="C5828" s="1" t="n">
        <v>45210</v>
      </c>
      <c r="D5828" t="inlineStr">
        <is>
          <t>DALARNAS LÄN</t>
        </is>
      </c>
      <c r="E5828" t="inlineStr">
        <is>
          <t>BORLÄNGE</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30024-2023</t>
        </is>
      </c>
      <c r="B5829" s="1" t="n">
        <v>45110</v>
      </c>
      <c r="C5829" s="1" t="n">
        <v>45210</v>
      </c>
      <c r="D5829" t="inlineStr">
        <is>
          <t>DALARNAS LÄN</t>
        </is>
      </c>
      <c r="E5829" t="inlineStr">
        <is>
          <t>VANSBRO</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30136-2023</t>
        </is>
      </c>
      <c r="B5830" s="1" t="n">
        <v>45110</v>
      </c>
      <c r="C5830" s="1" t="n">
        <v>45210</v>
      </c>
      <c r="D5830" t="inlineStr">
        <is>
          <t>DALARNAS LÄN</t>
        </is>
      </c>
      <c r="E5830" t="inlineStr">
        <is>
          <t>SMEDJEBACKEN</t>
        </is>
      </c>
      <c r="F5830" t="inlineStr">
        <is>
          <t>Bergvik skog väst AB</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30195-2023</t>
        </is>
      </c>
      <c r="B5831" s="1" t="n">
        <v>45110</v>
      </c>
      <c r="C5831" s="1" t="n">
        <v>45210</v>
      </c>
      <c r="D5831" t="inlineStr">
        <is>
          <t>DALARNAS LÄN</t>
        </is>
      </c>
      <c r="E5831" t="inlineStr">
        <is>
          <t>LEKSAND</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30252-2023</t>
        </is>
      </c>
      <c r="B5832" s="1" t="n">
        <v>45110</v>
      </c>
      <c r="C5832" s="1" t="n">
        <v>45210</v>
      </c>
      <c r="D5832" t="inlineStr">
        <is>
          <t>DALARNAS LÄN</t>
        </is>
      </c>
      <c r="E5832" t="inlineStr">
        <is>
          <t>BORLÄNGE</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30113-2023</t>
        </is>
      </c>
      <c r="B5833" s="1" t="n">
        <v>45110</v>
      </c>
      <c r="C5833" s="1" t="n">
        <v>45210</v>
      </c>
      <c r="D5833" t="inlineStr">
        <is>
          <t>DALARNAS LÄN</t>
        </is>
      </c>
      <c r="E5833" t="inlineStr">
        <is>
          <t>LUDVIKA</t>
        </is>
      </c>
      <c r="G5833" t="n">
        <v>3.3</v>
      </c>
      <c r="H5833" t="n">
        <v>0</v>
      </c>
      <c r="I5833" t="n">
        <v>0</v>
      </c>
      <c r="J5833" t="n">
        <v>0</v>
      </c>
      <c r="K5833" t="n">
        <v>0</v>
      </c>
      <c r="L5833" t="n">
        <v>0</v>
      </c>
      <c r="M5833" t="n">
        <v>0</v>
      </c>
      <c r="N5833" t="n">
        <v>0</v>
      </c>
      <c r="O5833" t="n">
        <v>0</v>
      </c>
      <c r="P5833" t="n">
        <v>0</v>
      </c>
      <c r="Q5833" t="n">
        <v>0</v>
      </c>
      <c r="R5833" s="2" t="inlineStr"/>
    </row>
    <row r="5834" ht="15" customHeight="1">
      <c r="A5834" t="inlineStr">
        <is>
          <t>A 30169-2023</t>
        </is>
      </c>
      <c r="B5834" s="1" t="n">
        <v>45110</v>
      </c>
      <c r="C5834" s="1" t="n">
        <v>45210</v>
      </c>
      <c r="D5834" t="inlineStr">
        <is>
          <t>DALARNAS LÄN</t>
        </is>
      </c>
      <c r="E5834" t="inlineStr">
        <is>
          <t>LEKSAND</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30397-2023</t>
        </is>
      </c>
      <c r="B5835" s="1" t="n">
        <v>45111</v>
      </c>
      <c r="C5835" s="1" t="n">
        <v>45210</v>
      </c>
      <c r="D5835" t="inlineStr">
        <is>
          <t>DALARNAS LÄN</t>
        </is>
      </c>
      <c r="E5835" t="inlineStr">
        <is>
          <t>SÄTER</t>
        </is>
      </c>
      <c r="F5835" t="inlineStr">
        <is>
          <t>Kommuner</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30458-2023</t>
        </is>
      </c>
      <c r="B5836" s="1" t="n">
        <v>45111</v>
      </c>
      <c r="C5836" s="1" t="n">
        <v>45210</v>
      </c>
      <c r="D5836" t="inlineStr">
        <is>
          <t>DALARNAS LÄN</t>
        </is>
      </c>
      <c r="E5836" t="inlineStr">
        <is>
          <t>ORSA</t>
        </is>
      </c>
      <c r="F5836" t="inlineStr">
        <is>
          <t>Bergvik skog öst AB</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30382-2023</t>
        </is>
      </c>
      <c r="B5837" s="1" t="n">
        <v>45111</v>
      </c>
      <c r="C5837" s="1" t="n">
        <v>45210</v>
      </c>
      <c r="D5837" t="inlineStr">
        <is>
          <t>DALARNAS LÄN</t>
        </is>
      </c>
      <c r="E5837" t="inlineStr">
        <is>
          <t>ORSA</t>
        </is>
      </c>
      <c r="F5837" t="inlineStr">
        <is>
          <t>Bergvik skog öst AB</t>
        </is>
      </c>
      <c r="G5837" t="n">
        <v>1.4</v>
      </c>
      <c r="H5837" t="n">
        <v>0</v>
      </c>
      <c r="I5837" t="n">
        <v>0</v>
      </c>
      <c r="J5837" t="n">
        <v>0</v>
      </c>
      <c r="K5837" t="n">
        <v>0</v>
      </c>
      <c r="L5837" t="n">
        <v>0</v>
      </c>
      <c r="M5837" t="n">
        <v>0</v>
      </c>
      <c r="N5837" t="n">
        <v>0</v>
      </c>
      <c r="O5837" t="n">
        <v>0</v>
      </c>
      <c r="P5837" t="n">
        <v>0</v>
      </c>
      <c r="Q5837" t="n">
        <v>0</v>
      </c>
      <c r="R5837" s="2" t="inlineStr"/>
    </row>
    <row r="5838" ht="15" customHeight="1">
      <c r="A5838" t="inlineStr">
        <is>
          <t>A 30387-2023</t>
        </is>
      </c>
      <c r="B5838" s="1" t="n">
        <v>45111</v>
      </c>
      <c r="C5838" s="1" t="n">
        <v>45210</v>
      </c>
      <c r="D5838" t="inlineStr">
        <is>
          <t>DALARNAS LÄN</t>
        </is>
      </c>
      <c r="E5838" t="inlineStr">
        <is>
          <t>SÄTER</t>
        </is>
      </c>
      <c r="F5838" t="inlineStr">
        <is>
          <t>Kommuner</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30389-2023</t>
        </is>
      </c>
      <c r="B5839" s="1" t="n">
        <v>45111</v>
      </c>
      <c r="C5839" s="1" t="n">
        <v>45210</v>
      </c>
      <c r="D5839" t="inlineStr">
        <is>
          <t>DALARNAS LÄN</t>
        </is>
      </c>
      <c r="E5839" t="inlineStr">
        <is>
          <t>ORSA</t>
        </is>
      </c>
      <c r="F5839" t="inlineStr">
        <is>
          <t>Bergvik skog öst AB</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30420-2023</t>
        </is>
      </c>
      <c r="B5840" s="1" t="n">
        <v>45111</v>
      </c>
      <c r="C5840" s="1" t="n">
        <v>45210</v>
      </c>
      <c r="D5840" t="inlineStr">
        <is>
          <t>DALARNAS LÄN</t>
        </is>
      </c>
      <c r="E5840" t="inlineStr">
        <is>
          <t>SMEDJEBACKEN</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30342-2023</t>
        </is>
      </c>
      <c r="B5841" s="1" t="n">
        <v>45111</v>
      </c>
      <c r="C5841" s="1" t="n">
        <v>45210</v>
      </c>
      <c r="D5841" t="inlineStr">
        <is>
          <t>DALARNAS LÄN</t>
        </is>
      </c>
      <c r="E5841" t="inlineStr">
        <is>
          <t>VANSBRO</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30392-2023</t>
        </is>
      </c>
      <c r="B5842" s="1" t="n">
        <v>45111</v>
      </c>
      <c r="C5842" s="1" t="n">
        <v>45210</v>
      </c>
      <c r="D5842" t="inlineStr">
        <is>
          <t>DALARNAS LÄN</t>
        </is>
      </c>
      <c r="E5842" t="inlineStr">
        <is>
          <t>ORSA</t>
        </is>
      </c>
      <c r="F5842" t="inlineStr">
        <is>
          <t>Bergvik skog öst AB</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30611-2023</t>
        </is>
      </c>
      <c r="B5843" s="1" t="n">
        <v>45112</v>
      </c>
      <c r="C5843" s="1" t="n">
        <v>45210</v>
      </c>
      <c r="D5843" t="inlineStr">
        <is>
          <t>DALARNAS LÄN</t>
        </is>
      </c>
      <c r="E5843" t="inlineStr">
        <is>
          <t>LEKSAND</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30645-2023</t>
        </is>
      </c>
      <c r="B5844" s="1" t="n">
        <v>45112</v>
      </c>
      <c r="C5844" s="1" t="n">
        <v>45210</v>
      </c>
      <c r="D5844" t="inlineStr">
        <is>
          <t>DALARNAS LÄN</t>
        </is>
      </c>
      <c r="E5844" t="inlineStr">
        <is>
          <t>MALUNG-SÄLEN</t>
        </is>
      </c>
      <c r="F5844" t="inlineStr">
        <is>
          <t>Allmännings- och besparingsskogar</t>
        </is>
      </c>
      <c r="G5844" t="n">
        <v>29.5</v>
      </c>
      <c r="H5844" t="n">
        <v>0</v>
      </c>
      <c r="I5844" t="n">
        <v>0</v>
      </c>
      <c r="J5844" t="n">
        <v>0</v>
      </c>
      <c r="K5844" t="n">
        <v>0</v>
      </c>
      <c r="L5844" t="n">
        <v>0</v>
      </c>
      <c r="M5844" t="n">
        <v>0</v>
      </c>
      <c r="N5844" t="n">
        <v>0</v>
      </c>
      <c r="O5844" t="n">
        <v>0</v>
      </c>
      <c r="P5844" t="n">
        <v>0</v>
      </c>
      <c r="Q5844" t="n">
        <v>0</v>
      </c>
      <c r="R5844" s="2" t="inlineStr"/>
    </row>
    <row r="5845" ht="15" customHeight="1">
      <c r="A5845" t="inlineStr">
        <is>
          <t>A 30758-2023</t>
        </is>
      </c>
      <c r="B5845" s="1" t="n">
        <v>45112</v>
      </c>
      <c r="C5845" s="1" t="n">
        <v>45210</v>
      </c>
      <c r="D5845" t="inlineStr">
        <is>
          <t>DALARNAS LÄN</t>
        </is>
      </c>
      <c r="E5845" t="inlineStr">
        <is>
          <t>FALUN</t>
        </is>
      </c>
      <c r="F5845" t="inlineStr">
        <is>
          <t>Bergvik skog väst AB</t>
        </is>
      </c>
      <c r="G5845" t="n">
        <v>31.4</v>
      </c>
      <c r="H5845" t="n">
        <v>0</v>
      </c>
      <c r="I5845" t="n">
        <v>0</v>
      </c>
      <c r="J5845" t="n">
        <v>0</v>
      </c>
      <c r="K5845" t="n">
        <v>0</v>
      </c>
      <c r="L5845" t="n">
        <v>0</v>
      </c>
      <c r="M5845" t="n">
        <v>0</v>
      </c>
      <c r="N5845" t="n">
        <v>0</v>
      </c>
      <c r="O5845" t="n">
        <v>0</v>
      </c>
      <c r="P5845" t="n">
        <v>0</v>
      </c>
      <c r="Q5845" t="n">
        <v>0</v>
      </c>
      <c r="R5845" s="2" t="inlineStr"/>
    </row>
    <row r="5846" ht="15" customHeight="1">
      <c r="A5846" t="inlineStr">
        <is>
          <t>A 32854-2023</t>
        </is>
      </c>
      <c r="B5846" s="1" t="n">
        <v>45112</v>
      </c>
      <c r="C5846" s="1" t="n">
        <v>45210</v>
      </c>
      <c r="D5846" t="inlineStr">
        <is>
          <t>DALARNAS LÄN</t>
        </is>
      </c>
      <c r="E5846" t="inlineStr">
        <is>
          <t>LUDVIKA</t>
        </is>
      </c>
      <c r="F5846" t="inlineStr">
        <is>
          <t>Kommuner</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30612-2023</t>
        </is>
      </c>
      <c r="B5847" s="1" t="n">
        <v>45112</v>
      </c>
      <c r="C5847" s="1" t="n">
        <v>45210</v>
      </c>
      <c r="D5847" t="inlineStr">
        <is>
          <t>DALARNAS LÄN</t>
        </is>
      </c>
      <c r="E5847" t="inlineStr">
        <is>
          <t>AVESTA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30654-2023</t>
        </is>
      </c>
      <c r="B5848" s="1" t="n">
        <v>45112</v>
      </c>
      <c r="C5848" s="1" t="n">
        <v>45210</v>
      </c>
      <c r="D5848" t="inlineStr">
        <is>
          <t>DALARNAS LÄN</t>
        </is>
      </c>
      <c r="E5848" t="inlineStr">
        <is>
          <t>LEKSAND</t>
        </is>
      </c>
      <c r="G5848" t="n">
        <v>1.7</v>
      </c>
      <c r="H5848" t="n">
        <v>0</v>
      </c>
      <c r="I5848" t="n">
        <v>0</v>
      </c>
      <c r="J5848" t="n">
        <v>0</v>
      </c>
      <c r="K5848" t="n">
        <v>0</v>
      </c>
      <c r="L5848" t="n">
        <v>0</v>
      </c>
      <c r="M5848" t="n">
        <v>0</v>
      </c>
      <c r="N5848" t="n">
        <v>0</v>
      </c>
      <c r="O5848" t="n">
        <v>0</v>
      </c>
      <c r="P5848" t="n">
        <v>0</v>
      </c>
      <c r="Q5848" t="n">
        <v>0</v>
      </c>
      <c r="R5848" s="2" t="inlineStr"/>
    </row>
    <row r="5849" ht="15" customHeight="1">
      <c r="A5849" t="inlineStr">
        <is>
          <t>A 30700-2023</t>
        </is>
      </c>
      <c r="B5849" s="1" t="n">
        <v>45112</v>
      </c>
      <c r="C5849" s="1" t="n">
        <v>45210</v>
      </c>
      <c r="D5849" t="inlineStr">
        <is>
          <t>DALARNAS LÄN</t>
        </is>
      </c>
      <c r="E5849" t="inlineStr">
        <is>
          <t>LEKSAND</t>
        </is>
      </c>
      <c r="G5849" t="n">
        <v>2.1</v>
      </c>
      <c r="H5849" t="n">
        <v>0</v>
      </c>
      <c r="I5849" t="n">
        <v>0</v>
      </c>
      <c r="J5849" t="n">
        <v>0</v>
      </c>
      <c r="K5849" t="n">
        <v>0</v>
      </c>
      <c r="L5849" t="n">
        <v>0</v>
      </c>
      <c r="M5849" t="n">
        <v>0</v>
      </c>
      <c r="N5849" t="n">
        <v>0</v>
      </c>
      <c r="O5849" t="n">
        <v>0</v>
      </c>
      <c r="P5849" t="n">
        <v>0</v>
      </c>
      <c r="Q5849" t="n">
        <v>0</v>
      </c>
      <c r="R5849" s="2" t="inlineStr"/>
    </row>
    <row r="5850" ht="15" customHeight="1">
      <c r="A5850" t="inlineStr">
        <is>
          <t>A 32684-2023</t>
        </is>
      </c>
      <c r="B5850" s="1" t="n">
        <v>45112</v>
      </c>
      <c r="C5850" s="1" t="n">
        <v>45210</v>
      </c>
      <c r="D5850" t="inlineStr">
        <is>
          <t>DALARNAS LÄN</t>
        </is>
      </c>
      <c r="E5850" t="inlineStr">
        <is>
          <t>AVESTA</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32857-2023</t>
        </is>
      </c>
      <c r="B5851" s="1" t="n">
        <v>45112</v>
      </c>
      <c r="C5851" s="1" t="n">
        <v>45210</v>
      </c>
      <c r="D5851" t="inlineStr">
        <is>
          <t>DALARNAS LÄN</t>
        </is>
      </c>
      <c r="E5851" t="inlineStr">
        <is>
          <t>RÄTTVIK</t>
        </is>
      </c>
      <c r="F5851" t="inlineStr">
        <is>
          <t>Allmännings- och besparingsskogar</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32886-2023</t>
        </is>
      </c>
      <c r="B5852" s="1" t="n">
        <v>45112</v>
      </c>
      <c r="C5852" s="1" t="n">
        <v>45210</v>
      </c>
      <c r="D5852" t="inlineStr">
        <is>
          <t>DALARNAS LÄN</t>
        </is>
      </c>
      <c r="E5852" t="inlineStr">
        <is>
          <t>ÄLVDALEN</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30595-2023</t>
        </is>
      </c>
      <c r="B5853" s="1" t="n">
        <v>45112</v>
      </c>
      <c r="C5853" s="1" t="n">
        <v>45210</v>
      </c>
      <c r="D5853" t="inlineStr">
        <is>
          <t>DALARNAS LÄN</t>
        </is>
      </c>
      <c r="E5853" t="inlineStr">
        <is>
          <t>LEKSAND</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30783-2023</t>
        </is>
      </c>
      <c r="B5854" s="1" t="n">
        <v>45112</v>
      </c>
      <c r="C5854" s="1" t="n">
        <v>45210</v>
      </c>
      <c r="D5854" t="inlineStr">
        <is>
          <t>DALARNAS LÄN</t>
        </is>
      </c>
      <c r="E5854" t="inlineStr">
        <is>
          <t>MALUNG-SÄLEN</t>
        </is>
      </c>
      <c r="G5854" t="n">
        <v>2.7</v>
      </c>
      <c r="H5854" t="n">
        <v>0</v>
      </c>
      <c r="I5854" t="n">
        <v>0</v>
      </c>
      <c r="J5854" t="n">
        <v>0</v>
      </c>
      <c r="K5854" t="n">
        <v>0</v>
      </c>
      <c r="L5854" t="n">
        <v>0</v>
      </c>
      <c r="M5854" t="n">
        <v>0</v>
      </c>
      <c r="N5854" t="n">
        <v>0</v>
      </c>
      <c r="O5854" t="n">
        <v>0</v>
      </c>
      <c r="P5854" t="n">
        <v>0</v>
      </c>
      <c r="Q5854" t="n">
        <v>0</v>
      </c>
      <c r="R5854" s="2" t="inlineStr"/>
    </row>
    <row r="5855" ht="15" customHeight="1">
      <c r="A5855" t="inlineStr">
        <is>
          <t>A 32859-2023</t>
        </is>
      </c>
      <c r="B5855" s="1" t="n">
        <v>45112</v>
      </c>
      <c r="C5855" s="1" t="n">
        <v>45210</v>
      </c>
      <c r="D5855" t="inlineStr">
        <is>
          <t>DALARNAS LÄN</t>
        </is>
      </c>
      <c r="E5855" t="inlineStr">
        <is>
          <t>RÄTTVIK</t>
        </is>
      </c>
      <c r="F5855" t="inlineStr">
        <is>
          <t>Allmännings- och besparingsskogar</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30761-2023</t>
        </is>
      </c>
      <c r="B5856" s="1" t="n">
        <v>45112</v>
      </c>
      <c r="C5856" s="1" t="n">
        <v>45210</v>
      </c>
      <c r="D5856" t="inlineStr">
        <is>
          <t>DALARNAS LÄN</t>
        </is>
      </c>
      <c r="E5856" t="inlineStr">
        <is>
          <t>VANSBRO</t>
        </is>
      </c>
      <c r="G5856" t="n">
        <v>4.6</v>
      </c>
      <c r="H5856" t="n">
        <v>0</v>
      </c>
      <c r="I5856" t="n">
        <v>0</v>
      </c>
      <c r="J5856" t="n">
        <v>0</v>
      </c>
      <c r="K5856" t="n">
        <v>0</v>
      </c>
      <c r="L5856" t="n">
        <v>0</v>
      </c>
      <c r="M5856" t="n">
        <v>0</v>
      </c>
      <c r="N5856" t="n">
        <v>0</v>
      </c>
      <c r="O5856" t="n">
        <v>0</v>
      </c>
      <c r="P5856" t="n">
        <v>0</v>
      </c>
      <c r="Q5856" t="n">
        <v>0</v>
      </c>
      <c r="R5856" s="2" t="inlineStr"/>
    </row>
    <row r="5857" ht="15" customHeight="1">
      <c r="A5857" t="inlineStr">
        <is>
          <t>A 30776-2023</t>
        </is>
      </c>
      <c r="B5857" s="1" t="n">
        <v>45112</v>
      </c>
      <c r="C5857" s="1" t="n">
        <v>45210</v>
      </c>
      <c r="D5857" t="inlineStr">
        <is>
          <t>DALARNAS LÄN</t>
        </is>
      </c>
      <c r="E5857" t="inlineStr">
        <is>
          <t>RÄTTVIK</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32682-2023</t>
        </is>
      </c>
      <c r="B5858" s="1" t="n">
        <v>45112</v>
      </c>
      <c r="C5858" s="1" t="n">
        <v>45210</v>
      </c>
      <c r="D5858" t="inlineStr">
        <is>
          <t>DALARNAS LÄN</t>
        </is>
      </c>
      <c r="E5858" t="inlineStr">
        <is>
          <t>AVESTA</t>
        </is>
      </c>
      <c r="G5858" t="n">
        <v>2.3</v>
      </c>
      <c r="H5858" t="n">
        <v>0</v>
      </c>
      <c r="I5858" t="n">
        <v>0</v>
      </c>
      <c r="J5858" t="n">
        <v>0</v>
      </c>
      <c r="K5858" t="n">
        <v>0</v>
      </c>
      <c r="L5858" t="n">
        <v>0</v>
      </c>
      <c r="M5858" t="n">
        <v>0</v>
      </c>
      <c r="N5858" t="n">
        <v>0</v>
      </c>
      <c r="O5858" t="n">
        <v>0</v>
      </c>
      <c r="P5858" t="n">
        <v>0</v>
      </c>
      <c r="Q5858" t="n">
        <v>0</v>
      </c>
      <c r="R5858" s="2" t="inlineStr"/>
    </row>
    <row r="5859" ht="15" customHeight="1">
      <c r="A5859" t="inlineStr">
        <is>
          <t>A 32852-2023</t>
        </is>
      </c>
      <c r="B5859" s="1" t="n">
        <v>45112</v>
      </c>
      <c r="C5859" s="1" t="n">
        <v>45210</v>
      </c>
      <c r="D5859" t="inlineStr">
        <is>
          <t>DALARNAS LÄN</t>
        </is>
      </c>
      <c r="E5859" t="inlineStr">
        <is>
          <t>LUDVIKA</t>
        </is>
      </c>
      <c r="F5859" t="inlineStr">
        <is>
          <t>Kommuner</t>
        </is>
      </c>
      <c r="G5859" t="n">
        <v>2</v>
      </c>
      <c r="H5859" t="n">
        <v>0</v>
      </c>
      <c r="I5859" t="n">
        <v>0</v>
      </c>
      <c r="J5859" t="n">
        <v>0</v>
      </c>
      <c r="K5859" t="n">
        <v>0</v>
      </c>
      <c r="L5859" t="n">
        <v>0</v>
      </c>
      <c r="M5859" t="n">
        <v>0</v>
      </c>
      <c r="N5859" t="n">
        <v>0</v>
      </c>
      <c r="O5859" t="n">
        <v>0</v>
      </c>
      <c r="P5859" t="n">
        <v>0</v>
      </c>
      <c r="Q5859" t="n">
        <v>0</v>
      </c>
      <c r="R5859" s="2" t="inlineStr"/>
    </row>
    <row r="5860" ht="15" customHeight="1">
      <c r="A5860" t="inlineStr">
        <is>
          <t>A 32862-2023</t>
        </is>
      </c>
      <c r="B5860" s="1" t="n">
        <v>45112</v>
      </c>
      <c r="C5860" s="1" t="n">
        <v>45210</v>
      </c>
      <c r="D5860" t="inlineStr">
        <is>
          <t>DALARNAS LÄN</t>
        </is>
      </c>
      <c r="E5860" t="inlineStr">
        <is>
          <t>RÄTTVIK</t>
        </is>
      </c>
      <c r="G5860" t="n">
        <v>4.8</v>
      </c>
      <c r="H5860" t="n">
        <v>0</v>
      </c>
      <c r="I5860" t="n">
        <v>0</v>
      </c>
      <c r="J5860" t="n">
        <v>0</v>
      </c>
      <c r="K5860" t="n">
        <v>0</v>
      </c>
      <c r="L5860" t="n">
        <v>0</v>
      </c>
      <c r="M5860" t="n">
        <v>0</v>
      </c>
      <c r="N5860" t="n">
        <v>0</v>
      </c>
      <c r="O5860" t="n">
        <v>0</v>
      </c>
      <c r="P5860" t="n">
        <v>0</v>
      </c>
      <c r="Q5860" t="n">
        <v>0</v>
      </c>
      <c r="R5860" s="2" t="inlineStr"/>
    </row>
    <row r="5861" ht="15" customHeight="1">
      <c r="A5861" t="inlineStr">
        <is>
          <t>A 31001-2023</t>
        </is>
      </c>
      <c r="B5861" s="1" t="n">
        <v>45113</v>
      </c>
      <c r="C5861" s="1" t="n">
        <v>45210</v>
      </c>
      <c r="D5861" t="inlineStr">
        <is>
          <t>DALARNAS LÄN</t>
        </is>
      </c>
      <c r="E5861" t="inlineStr">
        <is>
          <t>GAGNEF</t>
        </is>
      </c>
      <c r="G5861" t="n">
        <v>7.8</v>
      </c>
      <c r="H5861" t="n">
        <v>0</v>
      </c>
      <c r="I5861" t="n">
        <v>0</v>
      </c>
      <c r="J5861" t="n">
        <v>0</v>
      </c>
      <c r="K5861" t="n">
        <v>0</v>
      </c>
      <c r="L5861" t="n">
        <v>0</v>
      </c>
      <c r="M5861" t="n">
        <v>0</v>
      </c>
      <c r="N5861" t="n">
        <v>0</v>
      </c>
      <c r="O5861" t="n">
        <v>0</v>
      </c>
      <c r="P5861" t="n">
        <v>0</v>
      </c>
      <c r="Q5861" t="n">
        <v>0</v>
      </c>
      <c r="R5861" s="2" t="inlineStr"/>
    </row>
    <row r="5862" ht="15" customHeight="1">
      <c r="A5862" t="inlineStr">
        <is>
          <t>A 31044-2023</t>
        </is>
      </c>
      <c r="B5862" s="1" t="n">
        <v>45113</v>
      </c>
      <c r="C5862" s="1" t="n">
        <v>45210</v>
      </c>
      <c r="D5862" t="inlineStr">
        <is>
          <t>DALARNAS LÄN</t>
        </is>
      </c>
      <c r="E5862" t="inlineStr">
        <is>
          <t>ORSA</t>
        </is>
      </c>
      <c r="G5862" t="n">
        <v>4.6</v>
      </c>
      <c r="H5862" t="n">
        <v>0</v>
      </c>
      <c r="I5862" t="n">
        <v>0</v>
      </c>
      <c r="J5862" t="n">
        <v>0</v>
      </c>
      <c r="K5862" t="n">
        <v>0</v>
      </c>
      <c r="L5862" t="n">
        <v>0</v>
      </c>
      <c r="M5862" t="n">
        <v>0</v>
      </c>
      <c r="N5862" t="n">
        <v>0</v>
      </c>
      <c r="O5862" t="n">
        <v>0</v>
      </c>
      <c r="P5862" t="n">
        <v>0</v>
      </c>
      <c r="Q5862" t="n">
        <v>0</v>
      </c>
      <c r="R5862" s="2" t="inlineStr"/>
    </row>
    <row r="5863" ht="15" customHeight="1">
      <c r="A5863" t="inlineStr">
        <is>
          <t>A 30902-2023</t>
        </is>
      </c>
      <c r="B5863" s="1" t="n">
        <v>45113</v>
      </c>
      <c r="C5863" s="1" t="n">
        <v>45210</v>
      </c>
      <c r="D5863" t="inlineStr">
        <is>
          <t>DALARNAS LÄN</t>
        </is>
      </c>
      <c r="E5863" t="inlineStr">
        <is>
          <t>ÄLVDALEN</t>
        </is>
      </c>
      <c r="F5863" t="inlineStr">
        <is>
          <t>Allmännings- och besparingsskogar</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30938-2023</t>
        </is>
      </c>
      <c r="B5864" s="1" t="n">
        <v>45113</v>
      </c>
      <c r="C5864" s="1" t="n">
        <v>45210</v>
      </c>
      <c r="D5864" t="inlineStr">
        <is>
          <t>DALARNAS LÄN</t>
        </is>
      </c>
      <c r="E5864" t="inlineStr">
        <is>
          <t>SMEDJEBACKEN</t>
        </is>
      </c>
      <c r="G5864" t="n">
        <v>5.8</v>
      </c>
      <c r="H5864" t="n">
        <v>0</v>
      </c>
      <c r="I5864" t="n">
        <v>0</v>
      </c>
      <c r="J5864" t="n">
        <v>0</v>
      </c>
      <c r="K5864" t="n">
        <v>0</v>
      </c>
      <c r="L5864" t="n">
        <v>0</v>
      </c>
      <c r="M5864" t="n">
        <v>0</v>
      </c>
      <c r="N5864" t="n">
        <v>0</v>
      </c>
      <c r="O5864" t="n">
        <v>0</v>
      </c>
      <c r="P5864" t="n">
        <v>0</v>
      </c>
      <c r="Q5864" t="n">
        <v>0</v>
      </c>
      <c r="R5864" s="2" t="inlineStr"/>
    </row>
    <row r="5865" ht="15" customHeight="1">
      <c r="A5865" t="inlineStr">
        <is>
          <t>A 30957-2023</t>
        </is>
      </c>
      <c r="B5865" s="1" t="n">
        <v>45113</v>
      </c>
      <c r="C5865" s="1" t="n">
        <v>45210</v>
      </c>
      <c r="D5865" t="inlineStr">
        <is>
          <t>DALARNAS LÄN</t>
        </is>
      </c>
      <c r="E5865" t="inlineStr">
        <is>
          <t>GAGNEF</t>
        </is>
      </c>
      <c r="F5865" t="inlineStr">
        <is>
          <t>Bergvik skog väst AB</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30987-2023</t>
        </is>
      </c>
      <c r="B5866" s="1" t="n">
        <v>45113</v>
      </c>
      <c r="C5866" s="1" t="n">
        <v>45210</v>
      </c>
      <c r="D5866" t="inlineStr">
        <is>
          <t>DALARNAS LÄN</t>
        </is>
      </c>
      <c r="E5866" t="inlineStr">
        <is>
          <t>ÄLVDALEN</t>
        </is>
      </c>
      <c r="F5866" t="inlineStr">
        <is>
          <t>Allmännings- och besparingsskogar</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31031-2023</t>
        </is>
      </c>
      <c r="B5867" s="1" t="n">
        <v>45113</v>
      </c>
      <c r="C5867" s="1" t="n">
        <v>45210</v>
      </c>
      <c r="D5867" t="inlineStr">
        <is>
          <t>DALARNAS LÄN</t>
        </is>
      </c>
      <c r="E5867" t="inlineStr">
        <is>
          <t>ORSA</t>
        </is>
      </c>
      <c r="F5867" t="inlineStr">
        <is>
          <t>Bergvik skog öst AB</t>
        </is>
      </c>
      <c r="G5867" t="n">
        <v>0.4</v>
      </c>
      <c r="H5867" t="n">
        <v>0</v>
      </c>
      <c r="I5867" t="n">
        <v>0</v>
      </c>
      <c r="J5867" t="n">
        <v>0</v>
      </c>
      <c r="K5867" t="n">
        <v>0</v>
      </c>
      <c r="L5867" t="n">
        <v>0</v>
      </c>
      <c r="M5867" t="n">
        <v>0</v>
      </c>
      <c r="N5867" t="n">
        <v>0</v>
      </c>
      <c r="O5867" t="n">
        <v>0</v>
      </c>
      <c r="P5867" t="n">
        <v>0</v>
      </c>
      <c r="Q5867" t="n">
        <v>0</v>
      </c>
      <c r="R5867" s="2" t="inlineStr"/>
    </row>
    <row r="5868" ht="15" customHeight="1">
      <c r="A5868" t="inlineStr">
        <is>
          <t>A 32995-2023</t>
        </is>
      </c>
      <c r="B5868" s="1" t="n">
        <v>45113</v>
      </c>
      <c r="C5868" s="1" t="n">
        <v>45210</v>
      </c>
      <c r="D5868" t="inlineStr">
        <is>
          <t>DALARNAS LÄN</t>
        </is>
      </c>
      <c r="E5868" t="inlineStr">
        <is>
          <t>LUDVIKA</t>
        </is>
      </c>
      <c r="F5868" t="inlineStr">
        <is>
          <t>Kommuner</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30880-2023</t>
        </is>
      </c>
      <c r="B5869" s="1" t="n">
        <v>45113</v>
      </c>
      <c r="C5869" s="1" t="n">
        <v>45210</v>
      </c>
      <c r="D5869" t="inlineStr">
        <is>
          <t>DALARNAS LÄN</t>
        </is>
      </c>
      <c r="E5869" t="inlineStr">
        <is>
          <t>LEKSAND</t>
        </is>
      </c>
      <c r="G5869" t="n">
        <v>1.3</v>
      </c>
      <c r="H5869" t="n">
        <v>0</v>
      </c>
      <c r="I5869" t="n">
        <v>0</v>
      </c>
      <c r="J5869" t="n">
        <v>0</v>
      </c>
      <c r="K5869" t="n">
        <v>0</v>
      </c>
      <c r="L5869" t="n">
        <v>0</v>
      </c>
      <c r="M5869" t="n">
        <v>0</v>
      </c>
      <c r="N5869" t="n">
        <v>0</v>
      </c>
      <c r="O5869" t="n">
        <v>0</v>
      </c>
      <c r="P5869" t="n">
        <v>0</v>
      </c>
      <c r="Q5869" t="n">
        <v>0</v>
      </c>
      <c r="R5869" s="2" t="inlineStr"/>
    </row>
    <row r="5870" ht="15" customHeight="1">
      <c r="A5870" t="inlineStr">
        <is>
          <t>A 30985-2023</t>
        </is>
      </c>
      <c r="B5870" s="1" t="n">
        <v>45113</v>
      </c>
      <c r="C5870" s="1" t="n">
        <v>45210</v>
      </c>
      <c r="D5870" t="inlineStr">
        <is>
          <t>DALARNAS LÄN</t>
        </is>
      </c>
      <c r="E5870" t="inlineStr">
        <is>
          <t>ÄLVDALEN</t>
        </is>
      </c>
      <c r="F5870" t="inlineStr">
        <is>
          <t>Allmännings- och besparingsskogar</t>
        </is>
      </c>
      <c r="G5870" t="n">
        <v>2.9</v>
      </c>
      <c r="H5870" t="n">
        <v>0</v>
      </c>
      <c r="I5870" t="n">
        <v>0</v>
      </c>
      <c r="J5870" t="n">
        <v>0</v>
      </c>
      <c r="K5870" t="n">
        <v>0</v>
      </c>
      <c r="L5870" t="n">
        <v>0</v>
      </c>
      <c r="M5870" t="n">
        <v>0</v>
      </c>
      <c r="N5870" t="n">
        <v>0</v>
      </c>
      <c r="O5870" t="n">
        <v>0</v>
      </c>
      <c r="P5870" t="n">
        <v>0</v>
      </c>
      <c r="Q5870" t="n">
        <v>0</v>
      </c>
      <c r="R5870" s="2" t="inlineStr"/>
    </row>
    <row r="5871" ht="15" customHeight="1">
      <c r="A5871" t="inlineStr">
        <is>
          <t>A 30994-2023</t>
        </is>
      </c>
      <c r="B5871" s="1" t="n">
        <v>45113</v>
      </c>
      <c r="C5871" s="1" t="n">
        <v>45210</v>
      </c>
      <c r="D5871" t="inlineStr">
        <is>
          <t>DALARNAS LÄN</t>
        </is>
      </c>
      <c r="E5871" t="inlineStr">
        <is>
          <t>LEKSAND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31084-2023</t>
        </is>
      </c>
      <c r="B5872" s="1" t="n">
        <v>45113</v>
      </c>
      <c r="C5872" s="1" t="n">
        <v>45210</v>
      </c>
      <c r="D5872" t="inlineStr">
        <is>
          <t>DALARNAS LÄN</t>
        </is>
      </c>
      <c r="E5872" t="inlineStr">
        <is>
          <t>FALUN</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32989-2023</t>
        </is>
      </c>
      <c r="B5873" s="1" t="n">
        <v>45113</v>
      </c>
      <c r="C5873" s="1" t="n">
        <v>45210</v>
      </c>
      <c r="D5873" t="inlineStr">
        <is>
          <t>DALARNAS LÄN</t>
        </is>
      </c>
      <c r="E5873" t="inlineStr">
        <is>
          <t>LEKSAND</t>
        </is>
      </c>
      <c r="G5873" t="n">
        <v>4.4</v>
      </c>
      <c r="H5873" t="n">
        <v>0</v>
      </c>
      <c r="I5873" t="n">
        <v>0</v>
      </c>
      <c r="J5873" t="n">
        <v>0</v>
      </c>
      <c r="K5873" t="n">
        <v>0</v>
      </c>
      <c r="L5873" t="n">
        <v>0</v>
      </c>
      <c r="M5873" t="n">
        <v>0</v>
      </c>
      <c r="N5873" t="n">
        <v>0</v>
      </c>
      <c r="O5873" t="n">
        <v>0</v>
      </c>
      <c r="P5873" t="n">
        <v>0</v>
      </c>
      <c r="Q5873" t="n">
        <v>0</v>
      </c>
      <c r="R5873" s="2" t="inlineStr"/>
    </row>
    <row r="5874" ht="15" customHeight="1">
      <c r="A5874" t="inlineStr">
        <is>
          <t>A 30922-2023</t>
        </is>
      </c>
      <c r="B5874" s="1" t="n">
        <v>45113</v>
      </c>
      <c r="C5874" s="1" t="n">
        <v>45210</v>
      </c>
      <c r="D5874" t="inlineStr">
        <is>
          <t>DALARNAS LÄN</t>
        </is>
      </c>
      <c r="E5874" t="inlineStr">
        <is>
          <t>FALUN</t>
        </is>
      </c>
      <c r="F5874" t="inlineStr">
        <is>
          <t>Bergvik skog väst AB</t>
        </is>
      </c>
      <c r="G5874" t="n">
        <v>14.9</v>
      </c>
      <c r="H5874" t="n">
        <v>0</v>
      </c>
      <c r="I5874" t="n">
        <v>0</v>
      </c>
      <c r="J5874" t="n">
        <v>0</v>
      </c>
      <c r="K5874" t="n">
        <v>0</v>
      </c>
      <c r="L5874" t="n">
        <v>0</v>
      </c>
      <c r="M5874" t="n">
        <v>0</v>
      </c>
      <c r="N5874" t="n">
        <v>0</v>
      </c>
      <c r="O5874" t="n">
        <v>0</v>
      </c>
      <c r="P5874" t="n">
        <v>0</v>
      </c>
      <c r="Q5874" t="n">
        <v>0</v>
      </c>
      <c r="R5874" s="2" t="inlineStr"/>
    </row>
    <row r="5875" ht="15" customHeight="1">
      <c r="A5875" t="inlineStr">
        <is>
          <t>A 31103-2023</t>
        </is>
      </c>
      <c r="B5875" s="1" t="n">
        <v>45113</v>
      </c>
      <c r="C5875" s="1" t="n">
        <v>45210</v>
      </c>
      <c r="D5875" t="inlineStr">
        <is>
          <t>DALARNAS LÄN</t>
        </is>
      </c>
      <c r="E5875" t="inlineStr">
        <is>
          <t>HEDEMORA</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31250-2023</t>
        </is>
      </c>
      <c r="B5876" s="1" t="n">
        <v>45114</v>
      </c>
      <c r="C5876" s="1" t="n">
        <v>45210</v>
      </c>
      <c r="D5876" t="inlineStr">
        <is>
          <t>DALARNAS LÄN</t>
        </is>
      </c>
      <c r="E5876" t="inlineStr">
        <is>
          <t>LEKSAND</t>
        </is>
      </c>
      <c r="G5876" t="n">
        <v>2</v>
      </c>
      <c r="H5876" t="n">
        <v>0</v>
      </c>
      <c r="I5876" t="n">
        <v>0</v>
      </c>
      <c r="J5876" t="n">
        <v>0</v>
      </c>
      <c r="K5876" t="n">
        <v>0</v>
      </c>
      <c r="L5876" t="n">
        <v>0</v>
      </c>
      <c r="M5876" t="n">
        <v>0</v>
      </c>
      <c r="N5876" t="n">
        <v>0</v>
      </c>
      <c r="O5876" t="n">
        <v>0</v>
      </c>
      <c r="P5876" t="n">
        <v>0</v>
      </c>
      <c r="Q5876" t="n">
        <v>0</v>
      </c>
      <c r="R5876" s="2" t="inlineStr"/>
    </row>
    <row r="5877" ht="15" customHeight="1">
      <c r="A5877" t="inlineStr">
        <is>
          <t>A 31332-2023</t>
        </is>
      </c>
      <c r="B5877" s="1" t="n">
        <v>45114</v>
      </c>
      <c r="C5877" s="1" t="n">
        <v>45210</v>
      </c>
      <c r="D5877" t="inlineStr">
        <is>
          <t>DALARNAS LÄN</t>
        </is>
      </c>
      <c r="E5877" t="inlineStr">
        <is>
          <t>ÄLVDALEN</t>
        </is>
      </c>
      <c r="F5877" t="inlineStr">
        <is>
          <t>Övriga statliga verk och myndigheter</t>
        </is>
      </c>
      <c r="G5877" t="n">
        <v>0.5</v>
      </c>
      <c r="H5877" t="n">
        <v>0</v>
      </c>
      <c r="I5877" t="n">
        <v>0</v>
      </c>
      <c r="J5877" t="n">
        <v>0</v>
      </c>
      <c r="K5877" t="n">
        <v>0</v>
      </c>
      <c r="L5877" t="n">
        <v>0</v>
      </c>
      <c r="M5877" t="n">
        <v>0</v>
      </c>
      <c r="N5877" t="n">
        <v>0</v>
      </c>
      <c r="O5877" t="n">
        <v>0</v>
      </c>
      <c r="P5877" t="n">
        <v>0</v>
      </c>
      <c r="Q5877" t="n">
        <v>0</v>
      </c>
      <c r="R5877" s="2" t="inlineStr"/>
    </row>
    <row r="5878" ht="15" customHeight="1">
      <c r="A5878" t="inlineStr">
        <is>
          <t>A 31478-2023</t>
        </is>
      </c>
      <c r="B5878" s="1" t="n">
        <v>45114</v>
      </c>
      <c r="C5878" s="1" t="n">
        <v>45210</v>
      </c>
      <c r="D5878" t="inlineStr">
        <is>
          <t>DALARNAS LÄN</t>
        </is>
      </c>
      <c r="E5878" t="inlineStr">
        <is>
          <t>LUDVIKA</t>
        </is>
      </c>
      <c r="G5878" t="n">
        <v>6.2</v>
      </c>
      <c r="H5878" t="n">
        <v>0</v>
      </c>
      <c r="I5878" t="n">
        <v>0</v>
      </c>
      <c r="J5878" t="n">
        <v>0</v>
      </c>
      <c r="K5878" t="n">
        <v>0</v>
      </c>
      <c r="L5878" t="n">
        <v>0</v>
      </c>
      <c r="M5878" t="n">
        <v>0</v>
      </c>
      <c r="N5878" t="n">
        <v>0</v>
      </c>
      <c r="O5878" t="n">
        <v>0</v>
      </c>
      <c r="P5878" t="n">
        <v>0</v>
      </c>
      <c r="Q5878" t="n">
        <v>0</v>
      </c>
      <c r="R5878" s="2" t="inlineStr"/>
    </row>
    <row r="5879" ht="15" customHeight="1">
      <c r="A5879" t="inlineStr">
        <is>
          <t>A 33099-2023</t>
        </is>
      </c>
      <c r="B5879" s="1" t="n">
        <v>45114</v>
      </c>
      <c r="C5879" s="1" t="n">
        <v>45210</v>
      </c>
      <c r="D5879" t="inlineStr">
        <is>
          <t>DALARNAS LÄN</t>
        </is>
      </c>
      <c r="E5879" t="inlineStr">
        <is>
          <t>ÄLVDALEN</t>
        </is>
      </c>
      <c r="G5879" t="n">
        <v>3.5</v>
      </c>
      <c r="H5879" t="n">
        <v>0</v>
      </c>
      <c r="I5879" t="n">
        <v>0</v>
      </c>
      <c r="J5879" t="n">
        <v>0</v>
      </c>
      <c r="K5879" t="n">
        <v>0</v>
      </c>
      <c r="L5879" t="n">
        <v>0</v>
      </c>
      <c r="M5879" t="n">
        <v>0</v>
      </c>
      <c r="N5879" t="n">
        <v>0</v>
      </c>
      <c r="O5879" t="n">
        <v>0</v>
      </c>
      <c r="P5879" t="n">
        <v>0</v>
      </c>
      <c r="Q5879" t="n">
        <v>0</v>
      </c>
      <c r="R5879" s="2" t="inlineStr"/>
    </row>
    <row r="5880" ht="15" customHeight="1">
      <c r="A5880" t="inlineStr">
        <is>
          <t>A 33107-2023</t>
        </is>
      </c>
      <c r="B5880" s="1" t="n">
        <v>45114</v>
      </c>
      <c r="C5880" s="1" t="n">
        <v>45210</v>
      </c>
      <c r="D5880" t="inlineStr">
        <is>
          <t>DALARNAS LÄN</t>
        </is>
      </c>
      <c r="E5880" t="inlineStr">
        <is>
          <t>ÄLVDALEN</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31254-2023</t>
        </is>
      </c>
      <c r="B5881" s="1" t="n">
        <v>45114</v>
      </c>
      <c r="C5881" s="1" t="n">
        <v>45210</v>
      </c>
      <c r="D5881" t="inlineStr">
        <is>
          <t>DALARNAS LÄN</t>
        </is>
      </c>
      <c r="E5881" t="inlineStr">
        <is>
          <t>LEKSAND</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31280-2023</t>
        </is>
      </c>
      <c r="B5882" s="1" t="n">
        <v>45114</v>
      </c>
      <c r="C5882" s="1" t="n">
        <v>45210</v>
      </c>
      <c r="D5882" t="inlineStr">
        <is>
          <t>DALARNAS LÄN</t>
        </is>
      </c>
      <c r="E5882" t="inlineStr">
        <is>
          <t>SMEDJEBACKEN</t>
        </is>
      </c>
      <c r="F5882" t="inlineStr">
        <is>
          <t>Sveaskog</t>
        </is>
      </c>
      <c r="G5882" t="n">
        <v>6.2</v>
      </c>
      <c r="H5882" t="n">
        <v>0</v>
      </c>
      <c r="I5882" t="n">
        <v>0</v>
      </c>
      <c r="J5882" t="n">
        <v>0</v>
      </c>
      <c r="K5882" t="n">
        <v>0</v>
      </c>
      <c r="L5882" t="n">
        <v>0</v>
      </c>
      <c r="M5882" t="n">
        <v>0</v>
      </c>
      <c r="N5882" t="n">
        <v>0</v>
      </c>
      <c r="O5882" t="n">
        <v>0</v>
      </c>
      <c r="P5882" t="n">
        <v>0</v>
      </c>
      <c r="Q5882" t="n">
        <v>0</v>
      </c>
      <c r="R5882" s="2" t="inlineStr"/>
    </row>
    <row r="5883" ht="15" customHeight="1">
      <c r="A5883" t="inlineStr">
        <is>
          <t>A 31328-2023</t>
        </is>
      </c>
      <c r="B5883" s="1" t="n">
        <v>45114</v>
      </c>
      <c r="C5883" s="1" t="n">
        <v>45210</v>
      </c>
      <c r="D5883" t="inlineStr">
        <is>
          <t>DALARNAS LÄN</t>
        </is>
      </c>
      <c r="E5883" t="inlineStr">
        <is>
          <t>ÄLVDALEN</t>
        </is>
      </c>
      <c r="F5883" t="inlineStr">
        <is>
          <t>Övriga statliga verk och myndigheter</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31409-2023</t>
        </is>
      </c>
      <c r="B5884" s="1" t="n">
        <v>45114</v>
      </c>
      <c r="C5884" s="1" t="n">
        <v>45210</v>
      </c>
      <c r="D5884" t="inlineStr">
        <is>
          <t>DALARNAS LÄN</t>
        </is>
      </c>
      <c r="E5884" t="inlineStr">
        <is>
          <t>ORSA</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33102-2023</t>
        </is>
      </c>
      <c r="B5885" s="1" t="n">
        <v>45114</v>
      </c>
      <c r="C5885" s="1" t="n">
        <v>45210</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33109-2023</t>
        </is>
      </c>
      <c r="B5886" s="1" t="n">
        <v>45114</v>
      </c>
      <c r="C5886" s="1" t="n">
        <v>45210</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33228-2023</t>
        </is>
      </c>
      <c r="B5887" s="1" t="n">
        <v>45114</v>
      </c>
      <c r="C5887" s="1" t="n">
        <v>45210</v>
      </c>
      <c r="D5887" t="inlineStr">
        <is>
          <t>DALARNAS LÄN</t>
        </is>
      </c>
      <c r="E5887" t="inlineStr">
        <is>
          <t>RÄTTVIK</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31246-2023</t>
        </is>
      </c>
      <c r="B5888" s="1" t="n">
        <v>45114</v>
      </c>
      <c r="C5888" s="1" t="n">
        <v>45210</v>
      </c>
      <c r="D5888" t="inlineStr">
        <is>
          <t>DALARNAS LÄN</t>
        </is>
      </c>
      <c r="E5888" t="inlineStr">
        <is>
          <t>SÄTER</t>
        </is>
      </c>
      <c r="G5888" t="n">
        <v>3.6</v>
      </c>
      <c r="H5888" t="n">
        <v>0</v>
      </c>
      <c r="I5888" t="n">
        <v>0</v>
      </c>
      <c r="J5888" t="n">
        <v>0</v>
      </c>
      <c r="K5888" t="n">
        <v>0</v>
      </c>
      <c r="L5888" t="n">
        <v>0</v>
      </c>
      <c r="M5888" t="n">
        <v>0</v>
      </c>
      <c r="N5888" t="n">
        <v>0</v>
      </c>
      <c r="O5888" t="n">
        <v>0</v>
      </c>
      <c r="P5888" t="n">
        <v>0</v>
      </c>
      <c r="Q5888" t="n">
        <v>0</v>
      </c>
      <c r="R5888" s="2" t="inlineStr"/>
    </row>
    <row r="5889" ht="15" customHeight="1">
      <c r="A5889" t="inlineStr">
        <is>
          <t>A 31253-2023</t>
        </is>
      </c>
      <c r="B5889" s="1" t="n">
        <v>45114</v>
      </c>
      <c r="C5889" s="1" t="n">
        <v>45210</v>
      </c>
      <c r="D5889" t="inlineStr">
        <is>
          <t>DALARNAS LÄN</t>
        </is>
      </c>
      <c r="E5889" t="inlineStr">
        <is>
          <t>HEDEMORA</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31259-2023</t>
        </is>
      </c>
      <c r="B5890" s="1" t="n">
        <v>45114</v>
      </c>
      <c r="C5890" s="1" t="n">
        <v>45210</v>
      </c>
      <c r="D5890" t="inlineStr">
        <is>
          <t>DALARNAS LÄN</t>
        </is>
      </c>
      <c r="E5890" t="inlineStr">
        <is>
          <t>VANSBRO</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33100-2023</t>
        </is>
      </c>
      <c r="B5891" s="1" t="n">
        <v>45114</v>
      </c>
      <c r="C5891" s="1" t="n">
        <v>45210</v>
      </c>
      <c r="D5891" t="inlineStr">
        <is>
          <t>DALARNAS LÄN</t>
        </is>
      </c>
      <c r="E5891" t="inlineStr">
        <is>
          <t>ÄLVDALEN</t>
        </is>
      </c>
      <c r="G5891" t="n">
        <v>0.5</v>
      </c>
      <c r="H5891" t="n">
        <v>0</v>
      </c>
      <c r="I5891" t="n">
        <v>0</v>
      </c>
      <c r="J5891" t="n">
        <v>0</v>
      </c>
      <c r="K5891" t="n">
        <v>0</v>
      </c>
      <c r="L5891" t="n">
        <v>0</v>
      </c>
      <c r="M5891" t="n">
        <v>0</v>
      </c>
      <c r="N5891" t="n">
        <v>0</v>
      </c>
      <c r="O5891" t="n">
        <v>0</v>
      </c>
      <c r="P5891" t="n">
        <v>0</v>
      </c>
      <c r="Q5891" t="n">
        <v>0</v>
      </c>
      <c r="R5891" s="2" t="inlineStr"/>
    </row>
    <row r="5892" ht="15" customHeight="1">
      <c r="A5892" t="inlineStr">
        <is>
          <t>A 33108-2023</t>
        </is>
      </c>
      <c r="B5892" s="1" t="n">
        <v>45114</v>
      </c>
      <c r="C5892" s="1" t="n">
        <v>45210</v>
      </c>
      <c r="D5892" t="inlineStr">
        <is>
          <t>DALARNAS LÄN</t>
        </is>
      </c>
      <c r="E5892" t="inlineStr">
        <is>
          <t>ÄLVDALEN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33221-2023</t>
        </is>
      </c>
      <c r="B5893" s="1" t="n">
        <v>45114</v>
      </c>
      <c r="C5893" s="1" t="n">
        <v>45210</v>
      </c>
      <c r="D5893" t="inlineStr">
        <is>
          <t>DALARNAS LÄN</t>
        </is>
      </c>
      <c r="E5893" t="inlineStr">
        <is>
          <t>RÄTTVIK</t>
        </is>
      </c>
      <c r="G5893" t="n">
        <v>5.5</v>
      </c>
      <c r="H5893" t="n">
        <v>0</v>
      </c>
      <c r="I5893" t="n">
        <v>0</v>
      </c>
      <c r="J5893" t="n">
        <v>0</v>
      </c>
      <c r="K5893" t="n">
        <v>0</v>
      </c>
      <c r="L5893" t="n">
        <v>0</v>
      </c>
      <c r="M5893" t="n">
        <v>0</v>
      </c>
      <c r="N5893" t="n">
        <v>0</v>
      </c>
      <c r="O5893" t="n">
        <v>0</v>
      </c>
      <c r="P5893" t="n">
        <v>0</v>
      </c>
      <c r="Q5893" t="n">
        <v>0</v>
      </c>
      <c r="R5893" s="2" t="inlineStr"/>
    </row>
    <row r="5894" ht="15" customHeight="1">
      <c r="A5894" t="inlineStr">
        <is>
          <t>A 31271-2023</t>
        </is>
      </c>
      <c r="B5894" s="1" t="n">
        <v>45114</v>
      </c>
      <c r="C5894" s="1" t="n">
        <v>45210</v>
      </c>
      <c r="D5894" t="inlineStr">
        <is>
          <t>DALARNAS LÄN</t>
        </is>
      </c>
      <c r="E5894" t="inlineStr">
        <is>
          <t>SMEDJEBACKEN</t>
        </is>
      </c>
      <c r="G5894" t="n">
        <v>1.6</v>
      </c>
      <c r="H5894" t="n">
        <v>0</v>
      </c>
      <c r="I5894" t="n">
        <v>0</v>
      </c>
      <c r="J5894" t="n">
        <v>0</v>
      </c>
      <c r="K5894" t="n">
        <v>0</v>
      </c>
      <c r="L5894" t="n">
        <v>0</v>
      </c>
      <c r="M5894" t="n">
        <v>0</v>
      </c>
      <c r="N5894" t="n">
        <v>0</v>
      </c>
      <c r="O5894" t="n">
        <v>0</v>
      </c>
      <c r="P5894" t="n">
        <v>0</v>
      </c>
      <c r="Q5894" t="n">
        <v>0</v>
      </c>
      <c r="R5894" s="2" t="inlineStr"/>
    </row>
    <row r="5895" ht="15" customHeight="1">
      <c r="A5895" t="inlineStr">
        <is>
          <t>A 31366-2023</t>
        </is>
      </c>
      <c r="B5895" s="1" t="n">
        <v>45114</v>
      </c>
      <c r="C5895" s="1" t="n">
        <v>45210</v>
      </c>
      <c r="D5895" t="inlineStr">
        <is>
          <t>DALARNAS LÄN</t>
        </is>
      </c>
      <c r="E5895" t="inlineStr">
        <is>
          <t>MORA</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33087-2023</t>
        </is>
      </c>
      <c r="B5896" s="1" t="n">
        <v>45114</v>
      </c>
      <c r="C5896" s="1" t="n">
        <v>45210</v>
      </c>
      <c r="D5896" t="inlineStr">
        <is>
          <t>DALARNAS LÄN</t>
        </is>
      </c>
      <c r="E5896" t="inlineStr">
        <is>
          <t>MALUNG-SÄLEN</t>
        </is>
      </c>
      <c r="G5896" t="n">
        <v>8</v>
      </c>
      <c r="H5896" t="n">
        <v>0</v>
      </c>
      <c r="I5896" t="n">
        <v>0</v>
      </c>
      <c r="J5896" t="n">
        <v>0</v>
      </c>
      <c r="K5896" t="n">
        <v>0</v>
      </c>
      <c r="L5896" t="n">
        <v>0</v>
      </c>
      <c r="M5896" t="n">
        <v>0</v>
      </c>
      <c r="N5896" t="n">
        <v>0</v>
      </c>
      <c r="O5896" t="n">
        <v>0</v>
      </c>
      <c r="P5896" t="n">
        <v>0</v>
      </c>
      <c r="Q5896" t="n">
        <v>0</v>
      </c>
      <c r="R5896" s="2" t="inlineStr"/>
    </row>
    <row r="5897" ht="15" customHeight="1">
      <c r="A5897" t="inlineStr">
        <is>
          <t>A 33104-2023</t>
        </is>
      </c>
      <c r="B5897" s="1" t="n">
        <v>45114</v>
      </c>
      <c r="C5897" s="1" t="n">
        <v>45210</v>
      </c>
      <c r="D5897" t="inlineStr">
        <is>
          <t>DALARNAS LÄN</t>
        </is>
      </c>
      <c r="E5897" t="inlineStr">
        <is>
          <t>ÄLVDALEN</t>
        </is>
      </c>
      <c r="G5897" t="n">
        <v>9.9</v>
      </c>
      <c r="H5897" t="n">
        <v>0</v>
      </c>
      <c r="I5897" t="n">
        <v>0</v>
      </c>
      <c r="J5897" t="n">
        <v>0</v>
      </c>
      <c r="K5897" t="n">
        <v>0</v>
      </c>
      <c r="L5897" t="n">
        <v>0</v>
      </c>
      <c r="M5897" t="n">
        <v>0</v>
      </c>
      <c r="N5897" t="n">
        <v>0</v>
      </c>
      <c r="O5897" t="n">
        <v>0</v>
      </c>
      <c r="P5897" t="n">
        <v>0</v>
      </c>
      <c r="Q5897" t="n">
        <v>0</v>
      </c>
      <c r="R5897" s="2" t="inlineStr"/>
    </row>
    <row r="5898" ht="15" customHeight="1">
      <c r="A5898" t="inlineStr">
        <is>
          <t>A 33110-2023</t>
        </is>
      </c>
      <c r="B5898" s="1" t="n">
        <v>45114</v>
      </c>
      <c r="C5898" s="1" t="n">
        <v>45210</v>
      </c>
      <c r="D5898" t="inlineStr">
        <is>
          <t>DALARNAS LÄN</t>
        </is>
      </c>
      <c r="E5898" t="inlineStr">
        <is>
          <t>ÄLVDALEN</t>
        </is>
      </c>
      <c r="G5898" t="n">
        <v>1.1</v>
      </c>
      <c r="H5898" t="n">
        <v>0</v>
      </c>
      <c r="I5898" t="n">
        <v>0</v>
      </c>
      <c r="J5898" t="n">
        <v>0</v>
      </c>
      <c r="K5898" t="n">
        <v>0</v>
      </c>
      <c r="L5898" t="n">
        <v>0</v>
      </c>
      <c r="M5898" t="n">
        <v>0</v>
      </c>
      <c r="N5898" t="n">
        <v>0</v>
      </c>
      <c r="O5898" t="n">
        <v>0</v>
      </c>
      <c r="P5898" t="n">
        <v>0</v>
      </c>
      <c r="Q5898" t="n">
        <v>0</v>
      </c>
      <c r="R5898" s="2" t="inlineStr"/>
    </row>
    <row r="5899" ht="15" customHeight="1">
      <c r="A5899" t="inlineStr">
        <is>
          <t>A 31530-2023</t>
        </is>
      </c>
      <c r="B5899" s="1" t="n">
        <v>45116</v>
      </c>
      <c r="C5899" s="1" t="n">
        <v>45210</v>
      </c>
      <c r="D5899" t="inlineStr">
        <is>
          <t>DALARNAS LÄN</t>
        </is>
      </c>
      <c r="E5899" t="inlineStr">
        <is>
          <t>BORLÄNGE</t>
        </is>
      </c>
      <c r="G5899" t="n">
        <v>10</v>
      </c>
      <c r="H5899" t="n">
        <v>0</v>
      </c>
      <c r="I5899" t="n">
        <v>0</v>
      </c>
      <c r="J5899" t="n">
        <v>0</v>
      </c>
      <c r="K5899" t="n">
        <v>0</v>
      </c>
      <c r="L5899" t="n">
        <v>0</v>
      </c>
      <c r="M5899" t="n">
        <v>0</v>
      </c>
      <c r="N5899" t="n">
        <v>0</v>
      </c>
      <c r="O5899" t="n">
        <v>0</v>
      </c>
      <c r="P5899" t="n">
        <v>0</v>
      </c>
      <c r="Q5899" t="n">
        <v>0</v>
      </c>
      <c r="R5899" s="2" t="inlineStr"/>
    </row>
    <row r="5900" ht="15" customHeight="1">
      <c r="A5900" t="inlineStr">
        <is>
          <t>A 31625-2023</t>
        </is>
      </c>
      <c r="B5900" s="1" t="n">
        <v>45117</v>
      </c>
      <c r="C5900" s="1" t="n">
        <v>45210</v>
      </c>
      <c r="D5900" t="inlineStr">
        <is>
          <t>DALARNAS LÄN</t>
        </is>
      </c>
      <c r="E5900" t="inlineStr">
        <is>
          <t>LUDVIKA</t>
        </is>
      </c>
      <c r="G5900" t="n">
        <v>4.1</v>
      </c>
      <c r="H5900" t="n">
        <v>0</v>
      </c>
      <c r="I5900" t="n">
        <v>0</v>
      </c>
      <c r="J5900" t="n">
        <v>0</v>
      </c>
      <c r="K5900" t="n">
        <v>0</v>
      </c>
      <c r="L5900" t="n">
        <v>0</v>
      </c>
      <c r="M5900" t="n">
        <v>0</v>
      </c>
      <c r="N5900" t="n">
        <v>0</v>
      </c>
      <c r="O5900" t="n">
        <v>0</v>
      </c>
      <c r="P5900" t="n">
        <v>0</v>
      </c>
      <c r="Q5900" t="n">
        <v>0</v>
      </c>
      <c r="R5900" s="2" t="inlineStr"/>
    </row>
    <row r="5901" ht="15" customHeight="1">
      <c r="A5901" t="inlineStr">
        <is>
          <t>A 31679-2023</t>
        </is>
      </c>
      <c r="B5901" s="1" t="n">
        <v>45117</v>
      </c>
      <c r="C5901" s="1" t="n">
        <v>45210</v>
      </c>
      <c r="D5901" t="inlineStr">
        <is>
          <t>DALARNAS LÄN</t>
        </is>
      </c>
      <c r="E5901" t="inlineStr">
        <is>
          <t>BORLÄNGE</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31678-2023</t>
        </is>
      </c>
      <c r="B5902" s="1" t="n">
        <v>45117</v>
      </c>
      <c r="C5902" s="1" t="n">
        <v>45210</v>
      </c>
      <c r="D5902" t="inlineStr">
        <is>
          <t>DALARNAS LÄN</t>
        </is>
      </c>
      <c r="E5902" t="inlineStr">
        <is>
          <t>BORLÄNGE</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33482-2023</t>
        </is>
      </c>
      <c r="B5903" s="1" t="n">
        <v>45118</v>
      </c>
      <c r="C5903" s="1" t="n">
        <v>45210</v>
      </c>
      <c r="D5903" t="inlineStr">
        <is>
          <t>DALARNAS LÄN</t>
        </is>
      </c>
      <c r="E5903" t="inlineStr">
        <is>
          <t>SÄTER</t>
        </is>
      </c>
      <c r="F5903" t="inlineStr">
        <is>
          <t>Bergvik skog väst AB</t>
        </is>
      </c>
      <c r="G5903" t="n">
        <v>1.4</v>
      </c>
      <c r="H5903" t="n">
        <v>0</v>
      </c>
      <c r="I5903" t="n">
        <v>0</v>
      </c>
      <c r="J5903" t="n">
        <v>0</v>
      </c>
      <c r="K5903" t="n">
        <v>0</v>
      </c>
      <c r="L5903" t="n">
        <v>0</v>
      </c>
      <c r="M5903" t="n">
        <v>0</v>
      </c>
      <c r="N5903" t="n">
        <v>0</v>
      </c>
      <c r="O5903" t="n">
        <v>0</v>
      </c>
      <c r="P5903" t="n">
        <v>0</v>
      </c>
      <c r="Q5903" t="n">
        <v>0</v>
      </c>
      <c r="R5903" s="2" t="inlineStr"/>
    </row>
    <row r="5904" ht="15" customHeight="1">
      <c r="A5904" t="inlineStr">
        <is>
          <t>A 33469-2023</t>
        </is>
      </c>
      <c r="B5904" s="1" t="n">
        <v>45118</v>
      </c>
      <c r="C5904" s="1" t="n">
        <v>45210</v>
      </c>
      <c r="D5904" t="inlineStr">
        <is>
          <t>DALARNAS LÄN</t>
        </is>
      </c>
      <c r="E5904" t="inlineStr">
        <is>
          <t>HEDEMORA</t>
        </is>
      </c>
      <c r="F5904" t="inlineStr">
        <is>
          <t>Bergvik skog väst AB</t>
        </is>
      </c>
      <c r="G5904" t="n">
        <v>4.5</v>
      </c>
      <c r="H5904" t="n">
        <v>0</v>
      </c>
      <c r="I5904" t="n">
        <v>0</v>
      </c>
      <c r="J5904" t="n">
        <v>0</v>
      </c>
      <c r="K5904" t="n">
        <v>0</v>
      </c>
      <c r="L5904" t="n">
        <v>0</v>
      </c>
      <c r="M5904" t="n">
        <v>0</v>
      </c>
      <c r="N5904" t="n">
        <v>0</v>
      </c>
      <c r="O5904" t="n">
        <v>0</v>
      </c>
      <c r="P5904" t="n">
        <v>0</v>
      </c>
      <c r="Q5904" t="n">
        <v>0</v>
      </c>
      <c r="R5904" s="2" t="inlineStr"/>
    </row>
    <row r="5905" ht="15" customHeight="1">
      <c r="A5905" t="inlineStr">
        <is>
          <t>A 33535-2023</t>
        </is>
      </c>
      <c r="B5905" s="1" t="n">
        <v>45118</v>
      </c>
      <c r="C5905" s="1" t="n">
        <v>45210</v>
      </c>
      <c r="D5905" t="inlineStr">
        <is>
          <t>DALARNAS LÄN</t>
        </is>
      </c>
      <c r="E5905" t="inlineStr">
        <is>
          <t>LUDVIKA</t>
        </is>
      </c>
      <c r="F5905" t="inlineStr">
        <is>
          <t>Kommuner</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33475-2023</t>
        </is>
      </c>
      <c r="B5906" s="1" t="n">
        <v>45118</v>
      </c>
      <c r="C5906" s="1" t="n">
        <v>45210</v>
      </c>
      <c r="D5906" t="inlineStr">
        <is>
          <t>DALARNAS LÄN</t>
        </is>
      </c>
      <c r="E5906" t="inlineStr">
        <is>
          <t>HEDEMORA</t>
        </is>
      </c>
      <c r="F5906" t="inlineStr">
        <is>
          <t>Bergvik skog väst AB</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31845-2023</t>
        </is>
      </c>
      <c r="B5907" s="1" t="n">
        <v>45118</v>
      </c>
      <c r="C5907" s="1" t="n">
        <v>45210</v>
      </c>
      <c r="D5907" t="inlineStr">
        <is>
          <t>DALARNAS LÄN</t>
        </is>
      </c>
      <c r="E5907" t="inlineStr">
        <is>
          <t>MALUNG-SÄLEN</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33545-2023</t>
        </is>
      </c>
      <c r="B5908" s="1" t="n">
        <v>45118</v>
      </c>
      <c r="C5908" s="1" t="n">
        <v>45210</v>
      </c>
      <c r="D5908" t="inlineStr">
        <is>
          <t>DALARNAS LÄN</t>
        </is>
      </c>
      <c r="E5908" t="inlineStr">
        <is>
          <t>ÄLVDALEN</t>
        </is>
      </c>
      <c r="G5908" t="n">
        <v>16.2</v>
      </c>
      <c r="H5908" t="n">
        <v>0</v>
      </c>
      <c r="I5908" t="n">
        <v>0</v>
      </c>
      <c r="J5908" t="n">
        <v>0</v>
      </c>
      <c r="K5908" t="n">
        <v>0</v>
      </c>
      <c r="L5908" t="n">
        <v>0</v>
      </c>
      <c r="M5908" t="n">
        <v>0</v>
      </c>
      <c r="N5908" t="n">
        <v>0</v>
      </c>
      <c r="O5908" t="n">
        <v>0</v>
      </c>
      <c r="P5908" t="n">
        <v>0</v>
      </c>
      <c r="Q5908" t="n">
        <v>0</v>
      </c>
      <c r="R5908" s="2" t="inlineStr"/>
    </row>
    <row r="5909" ht="15" customHeight="1">
      <c r="A5909" t="inlineStr">
        <is>
          <t>A 32124-2023</t>
        </is>
      </c>
      <c r="B5909" s="1" t="n">
        <v>45119</v>
      </c>
      <c r="C5909" s="1" t="n">
        <v>45210</v>
      </c>
      <c r="D5909" t="inlineStr">
        <is>
          <t>DALARNAS LÄN</t>
        </is>
      </c>
      <c r="E5909" t="inlineStr">
        <is>
          <t>LUDVIKA</t>
        </is>
      </c>
      <c r="F5909" t="inlineStr">
        <is>
          <t>Naturvårdsverket</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32088-2023</t>
        </is>
      </c>
      <c r="B5910" s="1" t="n">
        <v>45119</v>
      </c>
      <c r="C5910" s="1" t="n">
        <v>45210</v>
      </c>
      <c r="D5910" t="inlineStr">
        <is>
          <t>DALARNAS LÄN</t>
        </is>
      </c>
      <c r="E5910" t="inlineStr">
        <is>
          <t>FALUN</t>
        </is>
      </c>
      <c r="F5910" t="inlineStr">
        <is>
          <t>Bergvik skog väst AB</t>
        </is>
      </c>
      <c r="G5910" t="n">
        <v>6.6</v>
      </c>
      <c r="H5910" t="n">
        <v>0</v>
      </c>
      <c r="I5910" t="n">
        <v>0</v>
      </c>
      <c r="J5910" t="n">
        <v>0</v>
      </c>
      <c r="K5910" t="n">
        <v>0</v>
      </c>
      <c r="L5910" t="n">
        <v>0</v>
      </c>
      <c r="M5910" t="n">
        <v>0</v>
      </c>
      <c r="N5910" t="n">
        <v>0</v>
      </c>
      <c r="O5910" t="n">
        <v>0</v>
      </c>
      <c r="P5910" t="n">
        <v>0</v>
      </c>
      <c r="Q5910" t="n">
        <v>0</v>
      </c>
      <c r="R5910" s="2" t="inlineStr"/>
    </row>
    <row r="5911" ht="15" customHeight="1">
      <c r="A5911" t="inlineStr">
        <is>
          <t>A 32100-2023</t>
        </is>
      </c>
      <c r="B5911" s="1" t="n">
        <v>45119</v>
      </c>
      <c r="C5911" s="1" t="n">
        <v>45210</v>
      </c>
      <c r="D5911" t="inlineStr">
        <is>
          <t>DALARNAS LÄN</t>
        </is>
      </c>
      <c r="E5911" t="inlineStr">
        <is>
          <t>FALUN</t>
        </is>
      </c>
      <c r="F5911" t="inlineStr">
        <is>
          <t>Bergvik skog väst AB</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32109-2023</t>
        </is>
      </c>
      <c r="B5912" s="1" t="n">
        <v>45119</v>
      </c>
      <c r="C5912" s="1" t="n">
        <v>45210</v>
      </c>
      <c r="D5912" t="inlineStr">
        <is>
          <t>DALARNAS LÄN</t>
        </is>
      </c>
      <c r="E5912" t="inlineStr">
        <is>
          <t>SÄTER</t>
        </is>
      </c>
      <c r="F5912" t="inlineStr">
        <is>
          <t>Bergvik skog väst AB</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32115-2023</t>
        </is>
      </c>
      <c r="B5913" s="1" t="n">
        <v>45119</v>
      </c>
      <c r="C5913" s="1" t="n">
        <v>45210</v>
      </c>
      <c r="D5913" t="inlineStr">
        <is>
          <t>DALARNAS LÄN</t>
        </is>
      </c>
      <c r="E5913" t="inlineStr">
        <is>
          <t>SÄTER</t>
        </is>
      </c>
      <c r="F5913" t="inlineStr">
        <is>
          <t>Bergvik skog väst AB</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32311-2023</t>
        </is>
      </c>
      <c r="B5914" s="1" t="n">
        <v>45120</v>
      </c>
      <c r="C5914" s="1" t="n">
        <v>45210</v>
      </c>
      <c r="D5914" t="inlineStr">
        <is>
          <t>DALARNAS LÄN</t>
        </is>
      </c>
      <c r="E5914" t="inlineStr">
        <is>
          <t>LEKSAND</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33775-2023</t>
        </is>
      </c>
      <c r="B5915" s="1" t="n">
        <v>45120</v>
      </c>
      <c r="C5915" s="1" t="n">
        <v>45210</v>
      </c>
      <c r="D5915" t="inlineStr">
        <is>
          <t>DALARNAS LÄN</t>
        </is>
      </c>
      <c r="E5915" t="inlineStr">
        <is>
          <t>HEDEMORA</t>
        </is>
      </c>
      <c r="G5915" t="n">
        <v>3</v>
      </c>
      <c r="H5915" t="n">
        <v>0</v>
      </c>
      <c r="I5915" t="n">
        <v>0</v>
      </c>
      <c r="J5915" t="n">
        <v>0</v>
      </c>
      <c r="K5915" t="n">
        <v>0</v>
      </c>
      <c r="L5915" t="n">
        <v>0</v>
      </c>
      <c r="M5915" t="n">
        <v>0</v>
      </c>
      <c r="N5915" t="n">
        <v>0</v>
      </c>
      <c r="O5915" t="n">
        <v>0</v>
      </c>
      <c r="P5915" t="n">
        <v>0</v>
      </c>
      <c r="Q5915" t="n">
        <v>0</v>
      </c>
      <c r="R5915" s="2" t="inlineStr"/>
    </row>
    <row r="5916" ht="15" customHeight="1">
      <c r="A5916" t="inlineStr">
        <is>
          <t>A 32307-2023</t>
        </is>
      </c>
      <c r="B5916" s="1" t="n">
        <v>45120</v>
      </c>
      <c r="C5916" s="1" t="n">
        <v>45210</v>
      </c>
      <c r="D5916" t="inlineStr">
        <is>
          <t>DALARNAS LÄN</t>
        </is>
      </c>
      <c r="E5916" t="inlineStr">
        <is>
          <t>LEKSAND</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32392-2023</t>
        </is>
      </c>
      <c r="B5917" s="1" t="n">
        <v>45120</v>
      </c>
      <c r="C5917" s="1" t="n">
        <v>45210</v>
      </c>
      <c r="D5917" t="inlineStr">
        <is>
          <t>DALARNAS LÄN</t>
        </is>
      </c>
      <c r="E5917" t="inlineStr">
        <is>
          <t>SÄTER</t>
        </is>
      </c>
      <c r="F5917" t="inlineStr">
        <is>
          <t>Bergvik skog väst AB</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33753-2023</t>
        </is>
      </c>
      <c r="B5918" s="1" t="n">
        <v>45120</v>
      </c>
      <c r="C5918" s="1" t="n">
        <v>45210</v>
      </c>
      <c r="D5918" t="inlineStr">
        <is>
          <t>DALARNAS LÄN</t>
        </is>
      </c>
      <c r="E5918" t="inlineStr">
        <is>
          <t>ORSA</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32544-2023</t>
        </is>
      </c>
      <c r="B5919" s="1" t="n">
        <v>45121</v>
      </c>
      <c r="C5919" s="1" t="n">
        <v>45210</v>
      </c>
      <c r="D5919" t="inlineStr">
        <is>
          <t>DALARNAS LÄN</t>
        </is>
      </c>
      <c r="E5919" t="inlineStr">
        <is>
          <t>LEKSAND</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33788-2023</t>
        </is>
      </c>
      <c r="B5920" s="1" t="n">
        <v>45121</v>
      </c>
      <c r="C5920" s="1" t="n">
        <v>45210</v>
      </c>
      <c r="D5920" t="inlineStr">
        <is>
          <t>DALARNAS LÄN</t>
        </is>
      </c>
      <c r="E5920" t="inlineStr">
        <is>
          <t>LEKSAND</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32622-2023</t>
        </is>
      </c>
      <c r="B5921" s="1" t="n">
        <v>45121</v>
      </c>
      <c r="C5921" s="1" t="n">
        <v>45210</v>
      </c>
      <c r="D5921" t="inlineStr">
        <is>
          <t>DALARNAS LÄN</t>
        </is>
      </c>
      <c r="E5921" t="inlineStr">
        <is>
          <t>ÄLVDALEN</t>
        </is>
      </c>
      <c r="F5921" t="inlineStr">
        <is>
          <t>Sveaskog</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32719-2023</t>
        </is>
      </c>
      <c r="B5922" s="1" t="n">
        <v>45121</v>
      </c>
      <c r="C5922" s="1" t="n">
        <v>45210</v>
      </c>
      <c r="D5922" t="inlineStr">
        <is>
          <t>DALARNAS LÄN</t>
        </is>
      </c>
      <c r="E5922" t="inlineStr">
        <is>
          <t>HEDEMORA</t>
        </is>
      </c>
      <c r="F5922" t="inlineStr">
        <is>
          <t>Sveaskog</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32666-2023</t>
        </is>
      </c>
      <c r="B5923" s="1" t="n">
        <v>45121</v>
      </c>
      <c r="C5923" s="1" t="n">
        <v>45210</v>
      </c>
      <c r="D5923" t="inlineStr">
        <is>
          <t>DALARNAS LÄN</t>
        </is>
      </c>
      <c r="E5923" t="inlineStr">
        <is>
          <t>LEKSAND</t>
        </is>
      </c>
      <c r="G5923" t="n">
        <v>9.9</v>
      </c>
      <c r="H5923" t="n">
        <v>0</v>
      </c>
      <c r="I5923" t="n">
        <v>0</v>
      </c>
      <c r="J5923" t="n">
        <v>0</v>
      </c>
      <c r="K5923" t="n">
        <v>0</v>
      </c>
      <c r="L5923" t="n">
        <v>0</v>
      </c>
      <c r="M5923" t="n">
        <v>0</v>
      </c>
      <c r="N5923" t="n">
        <v>0</v>
      </c>
      <c r="O5923" t="n">
        <v>0</v>
      </c>
      <c r="P5923" t="n">
        <v>0</v>
      </c>
      <c r="Q5923" t="n">
        <v>0</v>
      </c>
      <c r="R5923" s="2" t="inlineStr"/>
    </row>
    <row r="5924" ht="15" customHeight="1">
      <c r="A5924" t="inlineStr">
        <is>
          <t>A 32768-2023</t>
        </is>
      </c>
      <c r="B5924" s="1" t="n">
        <v>45123</v>
      </c>
      <c r="C5924" s="1" t="n">
        <v>45210</v>
      </c>
      <c r="D5924" t="inlineStr">
        <is>
          <t>DALARNAS LÄN</t>
        </is>
      </c>
      <c r="E5924" t="inlineStr">
        <is>
          <t>AVESTA</t>
        </is>
      </c>
      <c r="G5924" t="n">
        <v>3.3</v>
      </c>
      <c r="H5924" t="n">
        <v>0</v>
      </c>
      <c r="I5924" t="n">
        <v>0</v>
      </c>
      <c r="J5924" t="n">
        <v>0</v>
      </c>
      <c r="K5924" t="n">
        <v>0</v>
      </c>
      <c r="L5924" t="n">
        <v>0</v>
      </c>
      <c r="M5924" t="n">
        <v>0</v>
      </c>
      <c r="N5924" t="n">
        <v>0</v>
      </c>
      <c r="O5924" t="n">
        <v>0</v>
      </c>
      <c r="P5924" t="n">
        <v>0</v>
      </c>
      <c r="Q5924" t="n">
        <v>0</v>
      </c>
      <c r="R5924" s="2" t="inlineStr"/>
    </row>
    <row r="5925" ht="15" customHeight="1">
      <c r="A5925" t="inlineStr">
        <is>
          <t>A 32771-2023</t>
        </is>
      </c>
      <c r="B5925" s="1" t="n">
        <v>45123</v>
      </c>
      <c r="C5925" s="1" t="n">
        <v>45210</v>
      </c>
      <c r="D5925" t="inlineStr">
        <is>
          <t>DALARNAS LÄN</t>
        </is>
      </c>
      <c r="E5925" t="inlineStr">
        <is>
          <t>AVESTA</t>
        </is>
      </c>
      <c r="G5925" t="n">
        <v>4.3</v>
      </c>
      <c r="H5925" t="n">
        <v>0</v>
      </c>
      <c r="I5925" t="n">
        <v>0</v>
      </c>
      <c r="J5925" t="n">
        <v>0</v>
      </c>
      <c r="K5925" t="n">
        <v>0</v>
      </c>
      <c r="L5925" t="n">
        <v>0</v>
      </c>
      <c r="M5925" t="n">
        <v>0</v>
      </c>
      <c r="N5925" t="n">
        <v>0</v>
      </c>
      <c r="O5925" t="n">
        <v>0</v>
      </c>
      <c r="P5925" t="n">
        <v>0</v>
      </c>
      <c r="Q5925" t="n">
        <v>0</v>
      </c>
      <c r="R5925" s="2" t="inlineStr"/>
    </row>
    <row r="5926" ht="15" customHeight="1">
      <c r="A5926" t="inlineStr">
        <is>
          <t>A 33951-2023</t>
        </is>
      </c>
      <c r="B5926" s="1" t="n">
        <v>45124</v>
      </c>
      <c r="C5926" s="1" t="n">
        <v>45210</v>
      </c>
      <c r="D5926" t="inlineStr">
        <is>
          <t>DALARNAS LÄN</t>
        </is>
      </c>
      <c r="E5926" t="inlineStr">
        <is>
          <t>ÄLVDALEN</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33960-2023</t>
        </is>
      </c>
      <c r="B5927" s="1" t="n">
        <v>45124</v>
      </c>
      <c r="C5927" s="1" t="n">
        <v>45210</v>
      </c>
      <c r="D5927" t="inlineStr">
        <is>
          <t>DALARNAS LÄN</t>
        </is>
      </c>
      <c r="E5927" t="inlineStr">
        <is>
          <t>SMEDJEBACKEN</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32983-2023</t>
        </is>
      </c>
      <c r="B5928" s="1" t="n">
        <v>45125</v>
      </c>
      <c r="C5928" s="1" t="n">
        <v>45210</v>
      </c>
      <c r="D5928" t="inlineStr">
        <is>
          <t>DALARNAS LÄN</t>
        </is>
      </c>
      <c r="E5928" t="inlineStr">
        <is>
          <t>ORSA</t>
        </is>
      </c>
      <c r="F5928" t="inlineStr">
        <is>
          <t>Allmännings- och besparingsskogar</t>
        </is>
      </c>
      <c r="G5928" t="n">
        <v>4.6</v>
      </c>
      <c r="H5928" t="n">
        <v>0</v>
      </c>
      <c r="I5928" t="n">
        <v>0</v>
      </c>
      <c r="J5928" t="n">
        <v>0</v>
      </c>
      <c r="K5928" t="n">
        <v>0</v>
      </c>
      <c r="L5928" t="n">
        <v>0</v>
      </c>
      <c r="M5928" t="n">
        <v>0</v>
      </c>
      <c r="N5928" t="n">
        <v>0</v>
      </c>
      <c r="O5928" t="n">
        <v>0</v>
      </c>
      <c r="P5928" t="n">
        <v>0</v>
      </c>
      <c r="Q5928" t="n">
        <v>0</v>
      </c>
      <c r="R5928" s="2" t="inlineStr"/>
    </row>
    <row r="5929" ht="15" customHeight="1">
      <c r="A5929" t="inlineStr">
        <is>
          <t>A 34039-2023</t>
        </is>
      </c>
      <c r="B5929" s="1" t="n">
        <v>45125</v>
      </c>
      <c r="C5929" s="1" t="n">
        <v>45210</v>
      </c>
      <c r="D5929" t="inlineStr">
        <is>
          <t>DALARNAS LÄN</t>
        </is>
      </c>
      <c r="E5929" t="inlineStr">
        <is>
          <t>SMEDJEBACKEN</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34041-2023</t>
        </is>
      </c>
      <c r="B5930" s="1" t="n">
        <v>45125</v>
      </c>
      <c r="C5930" s="1" t="n">
        <v>45210</v>
      </c>
      <c r="D5930" t="inlineStr">
        <is>
          <t>DALARNAS LÄN</t>
        </is>
      </c>
      <c r="E5930" t="inlineStr">
        <is>
          <t>LUDVIKA</t>
        </is>
      </c>
      <c r="G5930" t="n">
        <v>4.2</v>
      </c>
      <c r="H5930" t="n">
        <v>0</v>
      </c>
      <c r="I5930" t="n">
        <v>0</v>
      </c>
      <c r="J5930" t="n">
        <v>0</v>
      </c>
      <c r="K5930" t="n">
        <v>0</v>
      </c>
      <c r="L5930" t="n">
        <v>0</v>
      </c>
      <c r="M5930" t="n">
        <v>0</v>
      </c>
      <c r="N5930" t="n">
        <v>0</v>
      </c>
      <c r="O5930" t="n">
        <v>0</v>
      </c>
      <c r="P5930" t="n">
        <v>0</v>
      </c>
      <c r="Q5930" t="n">
        <v>0</v>
      </c>
      <c r="R5930" s="2" t="inlineStr"/>
    </row>
    <row r="5931" ht="15" customHeight="1">
      <c r="A5931" t="inlineStr">
        <is>
          <t>A 32988-2023</t>
        </is>
      </c>
      <c r="B5931" s="1" t="n">
        <v>45125</v>
      </c>
      <c r="C5931" s="1" t="n">
        <v>45210</v>
      </c>
      <c r="D5931" t="inlineStr">
        <is>
          <t>DALARNAS LÄN</t>
        </is>
      </c>
      <c r="E5931" t="inlineStr">
        <is>
          <t>ORSA</t>
        </is>
      </c>
      <c r="F5931" t="inlineStr">
        <is>
          <t>Allmännings- och besparingsskogar</t>
        </is>
      </c>
      <c r="G5931" t="n">
        <v>2.7</v>
      </c>
      <c r="H5931" t="n">
        <v>0</v>
      </c>
      <c r="I5931" t="n">
        <v>0</v>
      </c>
      <c r="J5931" t="n">
        <v>0</v>
      </c>
      <c r="K5931" t="n">
        <v>0</v>
      </c>
      <c r="L5931" t="n">
        <v>0</v>
      </c>
      <c r="M5931" t="n">
        <v>0</v>
      </c>
      <c r="N5931" t="n">
        <v>0</v>
      </c>
      <c r="O5931" t="n">
        <v>0</v>
      </c>
      <c r="P5931" t="n">
        <v>0</v>
      </c>
      <c r="Q5931" t="n">
        <v>0</v>
      </c>
      <c r="R5931" s="2" t="inlineStr"/>
    </row>
    <row r="5932" ht="15" customHeight="1">
      <c r="A5932" t="inlineStr">
        <is>
          <t>A 33001-2023</t>
        </is>
      </c>
      <c r="B5932" s="1" t="n">
        <v>45125</v>
      </c>
      <c r="C5932" s="1" t="n">
        <v>45210</v>
      </c>
      <c r="D5932" t="inlineStr">
        <is>
          <t>DALARNAS LÄN</t>
        </is>
      </c>
      <c r="E5932" t="inlineStr">
        <is>
          <t>LEKSAND</t>
        </is>
      </c>
      <c r="F5932" t="inlineStr">
        <is>
          <t>Bergvik skog väst AB</t>
        </is>
      </c>
      <c r="G5932" t="n">
        <v>3</v>
      </c>
      <c r="H5932" t="n">
        <v>0</v>
      </c>
      <c r="I5932" t="n">
        <v>0</v>
      </c>
      <c r="J5932" t="n">
        <v>0</v>
      </c>
      <c r="K5932" t="n">
        <v>0</v>
      </c>
      <c r="L5932" t="n">
        <v>0</v>
      </c>
      <c r="M5932" t="n">
        <v>0</v>
      </c>
      <c r="N5932" t="n">
        <v>0</v>
      </c>
      <c r="O5932" t="n">
        <v>0</v>
      </c>
      <c r="P5932" t="n">
        <v>0</v>
      </c>
      <c r="Q5932" t="n">
        <v>0</v>
      </c>
      <c r="R5932" s="2" t="inlineStr"/>
    </row>
    <row r="5933" ht="15" customHeight="1">
      <c r="A5933" t="inlineStr">
        <is>
          <t>A 33063-2023</t>
        </is>
      </c>
      <c r="B5933" s="1" t="n">
        <v>45126</v>
      </c>
      <c r="C5933" s="1" t="n">
        <v>45210</v>
      </c>
      <c r="D5933" t="inlineStr">
        <is>
          <t>DALARNAS LÄN</t>
        </is>
      </c>
      <c r="E5933" t="inlineStr">
        <is>
          <t>LUDVIKA</t>
        </is>
      </c>
      <c r="F5933" t="inlineStr">
        <is>
          <t>Bergvik skog väst AB</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34182-2023</t>
        </is>
      </c>
      <c r="B5934" s="1" t="n">
        <v>45126</v>
      </c>
      <c r="C5934" s="1" t="n">
        <v>45210</v>
      </c>
      <c r="D5934" t="inlineStr">
        <is>
          <t>DALARNAS LÄN</t>
        </is>
      </c>
      <c r="E5934" t="inlineStr">
        <is>
          <t>SÄTER</t>
        </is>
      </c>
      <c r="G5934" t="n">
        <v>3.8</v>
      </c>
      <c r="H5934" t="n">
        <v>0</v>
      </c>
      <c r="I5934" t="n">
        <v>0</v>
      </c>
      <c r="J5934" t="n">
        <v>0</v>
      </c>
      <c r="K5934" t="n">
        <v>0</v>
      </c>
      <c r="L5934" t="n">
        <v>0</v>
      </c>
      <c r="M5934" t="n">
        <v>0</v>
      </c>
      <c r="N5934" t="n">
        <v>0</v>
      </c>
      <c r="O5934" t="n">
        <v>0</v>
      </c>
      <c r="P5934" t="n">
        <v>0</v>
      </c>
      <c r="Q5934" t="n">
        <v>0</v>
      </c>
      <c r="R5934" s="2" t="inlineStr"/>
    </row>
    <row r="5935" ht="15" customHeight="1">
      <c r="A5935" t="inlineStr">
        <is>
          <t>A 33068-2023</t>
        </is>
      </c>
      <c r="B5935" s="1" t="n">
        <v>45126</v>
      </c>
      <c r="C5935" s="1" t="n">
        <v>45210</v>
      </c>
      <c r="D5935" t="inlineStr">
        <is>
          <t>DALARNAS LÄN</t>
        </is>
      </c>
      <c r="E5935" t="inlineStr">
        <is>
          <t>ÄLVDALEN</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34220-2023</t>
        </is>
      </c>
      <c r="B5936" s="1" t="n">
        <v>45126</v>
      </c>
      <c r="C5936" s="1" t="n">
        <v>45210</v>
      </c>
      <c r="D5936" t="inlineStr">
        <is>
          <t>DALARNAS LÄN</t>
        </is>
      </c>
      <c r="E5936" t="inlineStr">
        <is>
          <t>SÄTER</t>
        </is>
      </c>
      <c r="G5936" t="n">
        <v>6.8</v>
      </c>
      <c r="H5936" t="n">
        <v>0</v>
      </c>
      <c r="I5936" t="n">
        <v>0</v>
      </c>
      <c r="J5936" t="n">
        <v>0</v>
      </c>
      <c r="K5936" t="n">
        <v>0</v>
      </c>
      <c r="L5936" t="n">
        <v>0</v>
      </c>
      <c r="M5936" t="n">
        <v>0</v>
      </c>
      <c r="N5936" t="n">
        <v>0</v>
      </c>
      <c r="O5936" t="n">
        <v>0</v>
      </c>
      <c r="P5936" t="n">
        <v>0</v>
      </c>
      <c r="Q5936" t="n">
        <v>0</v>
      </c>
      <c r="R5936" s="2" t="inlineStr"/>
    </row>
    <row r="5937" ht="15" customHeight="1">
      <c r="A5937" t="inlineStr">
        <is>
          <t>A 33306-2023</t>
        </is>
      </c>
      <c r="B5937" s="1" t="n">
        <v>45127</v>
      </c>
      <c r="C5937" s="1" t="n">
        <v>45210</v>
      </c>
      <c r="D5937" t="inlineStr">
        <is>
          <t>DALARNAS LÄN</t>
        </is>
      </c>
      <c r="E5937" t="inlineStr">
        <is>
          <t>LEKSAND</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33313-2023</t>
        </is>
      </c>
      <c r="B5938" s="1" t="n">
        <v>45127</v>
      </c>
      <c r="C5938" s="1" t="n">
        <v>45210</v>
      </c>
      <c r="D5938" t="inlineStr">
        <is>
          <t>DALARNAS LÄN</t>
        </is>
      </c>
      <c r="E5938" t="inlineStr">
        <is>
          <t>HEDEMORA</t>
        </is>
      </c>
      <c r="F5938" t="inlineStr">
        <is>
          <t>Bergvik skog väst AB</t>
        </is>
      </c>
      <c r="G5938" t="n">
        <v>8.6</v>
      </c>
      <c r="H5938" t="n">
        <v>0</v>
      </c>
      <c r="I5938" t="n">
        <v>0</v>
      </c>
      <c r="J5938" t="n">
        <v>0</v>
      </c>
      <c r="K5938" t="n">
        <v>0</v>
      </c>
      <c r="L5938" t="n">
        <v>0</v>
      </c>
      <c r="M5938" t="n">
        <v>0</v>
      </c>
      <c r="N5938" t="n">
        <v>0</v>
      </c>
      <c r="O5938" t="n">
        <v>0</v>
      </c>
      <c r="P5938" t="n">
        <v>0</v>
      </c>
      <c r="Q5938" t="n">
        <v>0</v>
      </c>
      <c r="R5938" s="2" t="inlineStr"/>
    </row>
    <row r="5939" ht="15" customHeight="1">
      <c r="A5939" t="inlineStr">
        <is>
          <t>A 33318-2023</t>
        </is>
      </c>
      <c r="B5939" s="1" t="n">
        <v>45127</v>
      </c>
      <c r="C5939" s="1" t="n">
        <v>45210</v>
      </c>
      <c r="D5939" t="inlineStr">
        <is>
          <t>DALARNAS LÄN</t>
        </is>
      </c>
      <c r="E5939" t="inlineStr">
        <is>
          <t>LEKSAND</t>
        </is>
      </c>
      <c r="G5939" t="n">
        <v>5.5</v>
      </c>
      <c r="H5939" t="n">
        <v>0</v>
      </c>
      <c r="I5939" t="n">
        <v>0</v>
      </c>
      <c r="J5939" t="n">
        <v>0</v>
      </c>
      <c r="K5939" t="n">
        <v>0</v>
      </c>
      <c r="L5939" t="n">
        <v>0</v>
      </c>
      <c r="M5939" t="n">
        <v>0</v>
      </c>
      <c r="N5939" t="n">
        <v>0</v>
      </c>
      <c r="O5939" t="n">
        <v>0</v>
      </c>
      <c r="P5939" t="n">
        <v>0</v>
      </c>
      <c r="Q5939" t="n">
        <v>0</v>
      </c>
      <c r="R5939" s="2" t="inlineStr"/>
    </row>
    <row r="5940" ht="15" customHeight="1">
      <c r="A5940" t="inlineStr">
        <is>
          <t>A 33308-2023</t>
        </is>
      </c>
      <c r="B5940" s="1" t="n">
        <v>45127</v>
      </c>
      <c r="C5940" s="1" t="n">
        <v>45210</v>
      </c>
      <c r="D5940" t="inlineStr">
        <is>
          <t>DALARNAS LÄN</t>
        </is>
      </c>
      <c r="E5940" t="inlineStr">
        <is>
          <t>LEKSAND</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33315-2023</t>
        </is>
      </c>
      <c r="B5941" s="1" t="n">
        <v>45127</v>
      </c>
      <c r="C5941" s="1" t="n">
        <v>45210</v>
      </c>
      <c r="D5941" t="inlineStr">
        <is>
          <t>DALARNAS LÄN</t>
        </is>
      </c>
      <c r="E5941" t="inlineStr">
        <is>
          <t>HEDEMORA</t>
        </is>
      </c>
      <c r="F5941" t="inlineStr">
        <is>
          <t>Bergvik skog väst AB</t>
        </is>
      </c>
      <c r="G5941" t="n">
        <v>2.5</v>
      </c>
      <c r="H5941" t="n">
        <v>0</v>
      </c>
      <c r="I5941" t="n">
        <v>0</v>
      </c>
      <c r="J5941" t="n">
        <v>0</v>
      </c>
      <c r="K5941" t="n">
        <v>0</v>
      </c>
      <c r="L5941" t="n">
        <v>0</v>
      </c>
      <c r="M5941" t="n">
        <v>0</v>
      </c>
      <c r="N5941" t="n">
        <v>0</v>
      </c>
      <c r="O5941" t="n">
        <v>0</v>
      </c>
      <c r="P5941" t="n">
        <v>0</v>
      </c>
      <c r="Q5941" t="n">
        <v>0</v>
      </c>
      <c r="R5941" s="2" t="inlineStr"/>
    </row>
    <row r="5942" ht="15" customHeight="1">
      <c r="A5942" t="inlineStr">
        <is>
          <t>A 33275-2023</t>
        </is>
      </c>
      <c r="B5942" s="1" t="n">
        <v>45127</v>
      </c>
      <c r="C5942" s="1" t="n">
        <v>45210</v>
      </c>
      <c r="D5942" t="inlineStr">
        <is>
          <t>DALARNAS LÄN</t>
        </is>
      </c>
      <c r="E5942" t="inlineStr">
        <is>
          <t>LUDVIKA</t>
        </is>
      </c>
      <c r="F5942" t="inlineStr">
        <is>
          <t>Naturvårdsverket</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33314-2023</t>
        </is>
      </c>
      <c r="B5943" s="1" t="n">
        <v>45127</v>
      </c>
      <c r="C5943" s="1" t="n">
        <v>45210</v>
      </c>
      <c r="D5943" t="inlineStr">
        <is>
          <t>DALARNAS LÄN</t>
        </is>
      </c>
      <c r="E5943" t="inlineStr">
        <is>
          <t>HEDEMORA</t>
        </is>
      </c>
      <c r="F5943" t="inlineStr">
        <is>
          <t>Bergvik skog väst AB</t>
        </is>
      </c>
      <c r="G5943" t="n">
        <v>3.6</v>
      </c>
      <c r="H5943" t="n">
        <v>0</v>
      </c>
      <c r="I5943" t="n">
        <v>0</v>
      </c>
      <c r="J5943" t="n">
        <v>0</v>
      </c>
      <c r="K5943" t="n">
        <v>0</v>
      </c>
      <c r="L5943" t="n">
        <v>0</v>
      </c>
      <c r="M5943" t="n">
        <v>0</v>
      </c>
      <c r="N5943" t="n">
        <v>0</v>
      </c>
      <c r="O5943" t="n">
        <v>0</v>
      </c>
      <c r="P5943" t="n">
        <v>0</v>
      </c>
      <c r="Q5943" t="n">
        <v>0</v>
      </c>
      <c r="R5943" s="2" t="inlineStr"/>
    </row>
    <row r="5944" ht="15" customHeight="1">
      <c r="A5944" t="inlineStr">
        <is>
          <t>A 34234-2023</t>
        </is>
      </c>
      <c r="B5944" s="1" t="n">
        <v>45127</v>
      </c>
      <c r="C5944" s="1" t="n">
        <v>45210</v>
      </c>
      <c r="D5944" t="inlineStr">
        <is>
          <t>DALARNAS LÄN</t>
        </is>
      </c>
      <c r="E5944" t="inlineStr">
        <is>
          <t>SÄTER</t>
        </is>
      </c>
      <c r="F5944" t="inlineStr">
        <is>
          <t>Bergvik skog väst AB</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33312-2023</t>
        </is>
      </c>
      <c r="B5945" s="1" t="n">
        <v>45127</v>
      </c>
      <c r="C5945" s="1" t="n">
        <v>45210</v>
      </c>
      <c r="D5945" t="inlineStr">
        <is>
          <t>DALARNAS LÄN</t>
        </is>
      </c>
      <c r="E5945" t="inlineStr">
        <is>
          <t>LEKSAND</t>
        </is>
      </c>
      <c r="G5945" t="n">
        <v>1.1</v>
      </c>
      <c r="H5945" t="n">
        <v>0</v>
      </c>
      <c r="I5945" t="n">
        <v>0</v>
      </c>
      <c r="J5945" t="n">
        <v>0</v>
      </c>
      <c r="K5945" t="n">
        <v>0</v>
      </c>
      <c r="L5945" t="n">
        <v>0</v>
      </c>
      <c r="M5945" t="n">
        <v>0</v>
      </c>
      <c r="N5945" t="n">
        <v>0</v>
      </c>
      <c r="O5945" t="n">
        <v>0</v>
      </c>
      <c r="P5945" t="n">
        <v>0</v>
      </c>
      <c r="Q5945" t="n">
        <v>0</v>
      </c>
      <c r="R5945" s="2" t="inlineStr"/>
    </row>
    <row r="5946" ht="15" customHeight="1">
      <c r="A5946" t="inlineStr">
        <is>
          <t>A 33316-2023</t>
        </is>
      </c>
      <c r="B5946" s="1" t="n">
        <v>45127</v>
      </c>
      <c r="C5946" s="1" t="n">
        <v>45210</v>
      </c>
      <c r="D5946" t="inlineStr">
        <is>
          <t>DALARNAS LÄN</t>
        </is>
      </c>
      <c r="E5946" t="inlineStr">
        <is>
          <t>LEKSAND</t>
        </is>
      </c>
      <c r="G5946" t="n">
        <v>8.9</v>
      </c>
      <c r="H5946" t="n">
        <v>0</v>
      </c>
      <c r="I5946" t="n">
        <v>0</v>
      </c>
      <c r="J5946" t="n">
        <v>0</v>
      </c>
      <c r="K5946" t="n">
        <v>0</v>
      </c>
      <c r="L5946" t="n">
        <v>0</v>
      </c>
      <c r="M5946" t="n">
        <v>0</v>
      </c>
      <c r="N5946" t="n">
        <v>0</v>
      </c>
      <c r="O5946" t="n">
        <v>0</v>
      </c>
      <c r="P5946" t="n">
        <v>0</v>
      </c>
      <c r="Q5946" t="n">
        <v>0</v>
      </c>
      <c r="R5946" s="2" t="inlineStr"/>
    </row>
    <row r="5947" ht="15" customHeight="1">
      <c r="A5947" t="inlineStr">
        <is>
          <t>A 33344-2023</t>
        </is>
      </c>
      <c r="B5947" s="1" t="n">
        <v>45128</v>
      </c>
      <c r="C5947" s="1" t="n">
        <v>45210</v>
      </c>
      <c r="D5947" t="inlineStr">
        <is>
          <t>DALARNAS LÄN</t>
        </is>
      </c>
      <c r="E5947" t="inlineStr">
        <is>
          <t>LUDVIKA</t>
        </is>
      </c>
      <c r="F5947" t="inlineStr">
        <is>
          <t>Bergvik skog väst AB</t>
        </is>
      </c>
      <c r="G5947" t="n">
        <v>2.7</v>
      </c>
      <c r="H5947" t="n">
        <v>0</v>
      </c>
      <c r="I5947" t="n">
        <v>0</v>
      </c>
      <c r="J5947" t="n">
        <v>0</v>
      </c>
      <c r="K5947" t="n">
        <v>0</v>
      </c>
      <c r="L5947" t="n">
        <v>0</v>
      </c>
      <c r="M5947" t="n">
        <v>0</v>
      </c>
      <c r="N5947" t="n">
        <v>0</v>
      </c>
      <c r="O5947" t="n">
        <v>0</v>
      </c>
      <c r="P5947" t="n">
        <v>0</v>
      </c>
      <c r="Q5947" t="n">
        <v>0</v>
      </c>
      <c r="R5947" s="2" t="inlineStr"/>
    </row>
    <row r="5948" ht="15" customHeight="1">
      <c r="A5948" t="inlineStr">
        <is>
          <t>A 33463-2023</t>
        </is>
      </c>
      <c r="B5948" s="1" t="n">
        <v>45131</v>
      </c>
      <c r="C5948" s="1" t="n">
        <v>45210</v>
      </c>
      <c r="D5948" t="inlineStr">
        <is>
          <t>DALARNAS LÄN</t>
        </is>
      </c>
      <c r="E5948" t="inlineStr">
        <is>
          <t>LEKSAND</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33480-2023</t>
        </is>
      </c>
      <c r="B5949" s="1" t="n">
        <v>45131</v>
      </c>
      <c r="C5949" s="1" t="n">
        <v>45210</v>
      </c>
      <c r="D5949" t="inlineStr">
        <is>
          <t>DALARNAS LÄN</t>
        </is>
      </c>
      <c r="E5949" t="inlineStr">
        <is>
          <t>LEKSAND</t>
        </is>
      </c>
      <c r="G5949" t="n">
        <v>1.8</v>
      </c>
      <c r="H5949" t="n">
        <v>0</v>
      </c>
      <c r="I5949" t="n">
        <v>0</v>
      </c>
      <c r="J5949" t="n">
        <v>0</v>
      </c>
      <c r="K5949" t="n">
        <v>0</v>
      </c>
      <c r="L5949" t="n">
        <v>0</v>
      </c>
      <c r="M5949" t="n">
        <v>0</v>
      </c>
      <c r="N5949" t="n">
        <v>0</v>
      </c>
      <c r="O5949" t="n">
        <v>0</v>
      </c>
      <c r="P5949" t="n">
        <v>0</v>
      </c>
      <c r="Q5949" t="n">
        <v>0</v>
      </c>
      <c r="R5949" s="2" t="inlineStr"/>
    </row>
    <row r="5950" ht="15" customHeight="1">
      <c r="A5950" t="inlineStr">
        <is>
          <t>A 33512-2023</t>
        </is>
      </c>
      <c r="B5950" s="1" t="n">
        <v>45131</v>
      </c>
      <c r="C5950" s="1" t="n">
        <v>45210</v>
      </c>
      <c r="D5950" t="inlineStr">
        <is>
          <t>DALARNAS LÄN</t>
        </is>
      </c>
      <c r="E5950" t="inlineStr">
        <is>
          <t>RÄTTVIK</t>
        </is>
      </c>
      <c r="F5950" t="inlineStr">
        <is>
          <t>Bergvik skog väst AB</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33462-2023</t>
        </is>
      </c>
      <c r="B5951" s="1" t="n">
        <v>45131</v>
      </c>
      <c r="C5951" s="1" t="n">
        <v>45210</v>
      </c>
      <c r="D5951" t="inlineStr">
        <is>
          <t>DALARNAS LÄN</t>
        </is>
      </c>
      <c r="E5951" t="inlineStr">
        <is>
          <t>LEKSAND</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33486-2023</t>
        </is>
      </c>
      <c r="B5952" s="1" t="n">
        <v>45131</v>
      </c>
      <c r="C5952" s="1" t="n">
        <v>45210</v>
      </c>
      <c r="D5952" t="inlineStr">
        <is>
          <t>DALARNAS LÄN</t>
        </is>
      </c>
      <c r="E5952" t="inlineStr">
        <is>
          <t>SMEDJEBACKEN</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33580-2023</t>
        </is>
      </c>
      <c r="B5953" s="1" t="n">
        <v>45131</v>
      </c>
      <c r="C5953" s="1" t="n">
        <v>45210</v>
      </c>
      <c r="D5953" t="inlineStr">
        <is>
          <t>DALARNAS LÄN</t>
        </is>
      </c>
      <c r="E5953" t="inlineStr">
        <is>
          <t>RÄTTVIK</t>
        </is>
      </c>
      <c r="F5953" t="inlineStr">
        <is>
          <t>Bergvik skog väst AB</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33560-2023</t>
        </is>
      </c>
      <c r="B5954" s="1" t="n">
        <v>45131</v>
      </c>
      <c r="C5954" s="1" t="n">
        <v>45210</v>
      </c>
      <c r="D5954" t="inlineStr">
        <is>
          <t>DALARNAS LÄN</t>
        </is>
      </c>
      <c r="E5954" t="inlineStr">
        <is>
          <t>LUDVIKA</t>
        </is>
      </c>
      <c r="G5954" t="n">
        <v>7</v>
      </c>
      <c r="H5954" t="n">
        <v>0</v>
      </c>
      <c r="I5954" t="n">
        <v>0</v>
      </c>
      <c r="J5954" t="n">
        <v>0</v>
      </c>
      <c r="K5954" t="n">
        <v>0</v>
      </c>
      <c r="L5954" t="n">
        <v>0</v>
      </c>
      <c r="M5954" t="n">
        <v>0</v>
      </c>
      <c r="N5954" t="n">
        <v>0</v>
      </c>
      <c r="O5954" t="n">
        <v>0</v>
      </c>
      <c r="P5954" t="n">
        <v>0</v>
      </c>
      <c r="Q5954" t="n">
        <v>0</v>
      </c>
      <c r="R5954" s="2" t="inlineStr"/>
    </row>
    <row r="5955" ht="15" customHeight="1">
      <c r="A5955" t="inlineStr">
        <is>
          <t>A 33465-2023</t>
        </is>
      </c>
      <c r="B5955" s="1" t="n">
        <v>45131</v>
      </c>
      <c r="C5955" s="1" t="n">
        <v>45210</v>
      </c>
      <c r="D5955" t="inlineStr">
        <is>
          <t>DALARNAS LÄN</t>
        </is>
      </c>
      <c r="E5955" t="inlineStr">
        <is>
          <t>ÄLVDALEN</t>
        </is>
      </c>
      <c r="F5955" t="inlineStr">
        <is>
          <t>Allmännings- och besparingsskogar</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34341-2023</t>
        </is>
      </c>
      <c r="B5956" s="1" t="n">
        <v>45131</v>
      </c>
      <c r="C5956" s="1" t="n">
        <v>45210</v>
      </c>
      <c r="D5956" t="inlineStr">
        <is>
          <t>DALARNAS LÄN</t>
        </is>
      </c>
      <c r="E5956" t="inlineStr">
        <is>
          <t>LUDVIKA</t>
        </is>
      </c>
      <c r="G5956" t="n">
        <v>8.199999999999999</v>
      </c>
      <c r="H5956" t="n">
        <v>0</v>
      </c>
      <c r="I5956" t="n">
        <v>0</v>
      </c>
      <c r="J5956" t="n">
        <v>0</v>
      </c>
      <c r="K5956" t="n">
        <v>0</v>
      </c>
      <c r="L5956" t="n">
        <v>0</v>
      </c>
      <c r="M5956" t="n">
        <v>0</v>
      </c>
      <c r="N5956" t="n">
        <v>0</v>
      </c>
      <c r="O5956" t="n">
        <v>0</v>
      </c>
      <c r="P5956" t="n">
        <v>0</v>
      </c>
      <c r="Q5956" t="n">
        <v>0</v>
      </c>
      <c r="R5956" s="2" t="inlineStr"/>
    </row>
    <row r="5957" ht="15" customHeight="1">
      <c r="A5957" t="inlineStr">
        <is>
          <t>A 33673-2023</t>
        </is>
      </c>
      <c r="B5957" s="1" t="n">
        <v>45132</v>
      </c>
      <c r="C5957" s="1" t="n">
        <v>45210</v>
      </c>
      <c r="D5957" t="inlineStr">
        <is>
          <t>DALARNAS LÄN</t>
        </is>
      </c>
      <c r="E5957" t="inlineStr">
        <is>
          <t>ORSA</t>
        </is>
      </c>
      <c r="G5957" t="n">
        <v>0.9</v>
      </c>
      <c r="H5957" t="n">
        <v>0</v>
      </c>
      <c r="I5957" t="n">
        <v>0</v>
      </c>
      <c r="J5957" t="n">
        <v>0</v>
      </c>
      <c r="K5957" t="n">
        <v>0</v>
      </c>
      <c r="L5957" t="n">
        <v>0</v>
      </c>
      <c r="M5957" t="n">
        <v>0</v>
      </c>
      <c r="N5957" t="n">
        <v>0</v>
      </c>
      <c r="O5957" t="n">
        <v>0</v>
      </c>
      <c r="P5957" t="n">
        <v>0</v>
      </c>
      <c r="Q5957" t="n">
        <v>0</v>
      </c>
      <c r="R5957" s="2" t="inlineStr"/>
    </row>
    <row r="5958" ht="15" customHeight="1">
      <c r="A5958" t="inlineStr">
        <is>
          <t>A 33674-2023</t>
        </is>
      </c>
      <c r="B5958" s="1" t="n">
        <v>45132</v>
      </c>
      <c r="C5958" s="1" t="n">
        <v>45210</v>
      </c>
      <c r="D5958" t="inlineStr">
        <is>
          <t>DALARNAS LÄN</t>
        </is>
      </c>
      <c r="E5958" t="inlineStr">
        <is>
          <t>LEKSAND</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33905-2023</t>
        </is>
      </c>
      <c r="B5959" s="1" t="n">
        <v>45134</v>
      </c>
      <c r="C5959" s="1" t="n">
        <v>45210</v>
      </c>
      <c r="D5959" t="inlineStr">
        <is>
          <t>DALARNAS LÄN</t>
        </is>
      </c>
      <c r="E5959" t="inlineStr">
        <is>
          <t>ÄLVDALEN</t>
        </is>
      </c>
      <c r="G5959" t="n">
        <v>3.1</v>
      </c>
      <c r="H5959" t="n">
        <v>0</v>
      </c>
      <c r="I5959" t="n">
        <v>0</v>
      </c>
      <c r="J5959" t="n">
        <v>0</v>
      </c>
      <c r="K5959" t="n">
        <v>0</v>
      </c>
      <c r="L5959" t="n">
        <v>0</v>
      </c>
      <c r="M5959" t="n">
        <v>0</v>
      </c>
      <c r="N5959" t="n">
        <v>0</v>
      </c>
      <c r="O5959" t="n">
        <v>0</v>
      </c>
      <c r="P5959" t="n">
        <v>0</v>
      </c>
      <c r="Q5959" t="n">
        <v>0</v>
      </c>
      <c r="R5959" s="2" t="inlineStr"/>
    </row>
    <row r="5960" ht="15" customHeight="1">
      <c r="A5960" t="inlineStr">
        <is>
          <t>A 33977-2023</t>
        </is>
      </c>
      <c r="B5960" s="1" t="n">
        <v>45134</v>
      </c>
      <c r="C5960" s="1" t="n">
        <v>45210</v>
      </c>
      <c r="D5960" t="inlineStr">
        <is>
          <t>DALARNAS LÄN</t>
        </is>
      </c>
      <c r="E5960" t="inlineStr">
        <is>
          <t>ORSA</t>
        </is>
      </c>
      <c r="G5960" t="n">
        <v>2</v>
      </c>
      <c r="H5960" t="n">
        <v>0</v>
      </c>
      <c r="I5960" t="n">
        <v>0</v>
      </c>
      <c r="J5960" t="n">
        <v>0</v>
      </c>
      <c r="K5960" t="n">
        <v>0</v>
      </c>
      <c r="L5960" t="n">
        <v>0</v>
      </c>
      <c r="M5960" t="n">
        <v>0</v>
      </c>
      <c r="N5960" t="n">
        <v>0</v>
      </c>
      <c r="O5960" t="n">
        <v>0</v>
      </c>
      <c r="P5960" t="n">
        <v>0</v>
      </c>
      <c r="Q5960" t="n">
        <v>0</v>
      </c>
      <c r="R5960" s="2" t="inlineStr"/>
    </row>
    <row r="5961" ht="15" customHeight="1">
      <c r="A5961" t="inlineStr">
        <is>
          <t>A 33918-2023</t>
        </is>
      </c>
      <c r="B5961" s="1" t="n">
        <v>45134</v>
      </c>
      <c r="C5961" s="1" t="n">
        <v>45210</v>
      </c>
      <c r="D5961" t="inlineStr">
        <is>
          <t>DALARNAS LÄN</t>
        </is>
      </c>
      <c r="E5961" t="inlineStr">
        <is>
          <t>ÄLVDALEN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33972-2023</t>
        </is>
      </c>
      <c r="B5962" s="1" t="n">
        <v>45134</v>
      </c>
      <c r="C5962" s="1" t="n">
        <v>45210</v>
      </c>
      <c r="D5962" t="inlineStr">
        <is>
          <t>DALARNAS LÄN</t>
        </is>
      </c>
      <c r="E5962" t="inlineStr">
        <is>
          <t>FALUN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34125-2023</t>
        </is>
      </c>
      <c r="B5963" s="1" t="n">
        <v>45135</v>
      </c>
      <c r="C5963" s="1" t="n">
        <v>45210</v>
      </c>
      <c r="D5963" t="inlineStr">
        <is>
          <t>DALARNAS LÄN</t>
        </is>
      </c>
      <c r="E5963" t="inlineStr">
        <is>
          <t>ORSA</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34213-2023</t>
        </is>
      </c>
      <c r="B5964" s="1" t="n">
        <v>45138</v>
      </c>
      <c r="C5964" s="1" t="n">
        <v>45210</v>
      </c>
      <c r="D5964" t="inlineStr">
        <is>
          <t>DALARNAS LÄN</t>
        </is>
      </c>
      <c r="E5964" t="inlineStr">
        <is>
          <t>FALUN</t>
        </is>
      </c>
      <c r="G5964" t="n">
        <v>2.1</v>
      </c>
      <c r="H5964" t="n">
        <v>0</v>
      </c>
      <c r="I5964" t="n">
        <v>0</v>
      </c>
      <c r="J5964" t="n">
        <v>0</v>
      </c>
      <c r="K5964" t="n">
        <v>0</v>
      </c>
      <c r="L5964" t="n">
        <v>0</v>
      </c>
      <c r="M5964" t="n">
        <v>0</v>
      </c>
      <c r="N5964" t="n">
        <v>0</v>
      </c>
      <c r="O5964" t="n">
        <v>0</v>
      </c>
      <c r="P5964" t="n">
        <v>0</v>
      </c>
      <c r="Q5964" t="n">
        <v>0</v>
      </c>
      <c r="R5964" s="2" t="inlineStr"/>
    </row>
    <row r="5965" ht="15" customHeight="1">
      <c r="A5965" t="inlineStr">
        <is>
          <t>A 34203-2023</t>
        </is>
      </c>
      <c r="B5965" s="1" t="n">
        <v>45138</v>
      </c>
      <c r="C5965" s="1" t="n">
        <v>45210</v>
      </c>
      <c r="D5965" t="inlineStr">
        <is>
          <t>DALARNAS LÄN</t>
        </is>
      </c>
      <c r="E5965" t="inlineStr">
        <is>
          <t>RÄTTVIK</t>
        </is>
      </c>
      <c r="F5965" t="inlineStr">
        <is>
          <t>Bergvik skog väst AB</t>
        </is>
      </c>
      <c r="G5965" t="n">
        <v>13.5</v>
      </c>
      <c r="H5965" t="n">
        <v>0</v>
      </c>
      <c r="I5965" t="n">
        <v>0</v>
      </c>
      <c r="J5965" t="n">
        <v>0</v>
      </c>
      <c r="K5965" t="n">
        <v>0</v>
      </c>
      <c r="L5965" t="n">
        <v>0</v>
      </c>
      <c r="M5965" t="n">
        <v>0</v>
      </c>
      <c r="N5965" t="n">
        <v>0</v>
      </c>
      <c r="O5965" t="n">
        <v>0</v>
      </c>
      <c r="P5965" t="n">
        <v>0</v>
      </c>
      <c r="Q5965" t="n">
        <v>0</v>
      </c>
      <c r="R5965" s="2" t="inlineStr"/>
    </row>
    <row r="5966" ht="15" customHeight="1">
      <c r="A5966" t="inlineStr">
        <is>
          <t>A 34334-2023</t>
        </is>
      </c>
      <c r="B5966" s="1" t="n">
        <v>45139</v>
      </c>
      <c r="C5966" s="1" t="n">
        <v>45210</v>
      </c>
      <c r="D5966" t="inlineStr">
        <is>
          <t>DALARNAS LÄN</t>
        </is>
      </c>
      <c r="E5966" t="inlineStr">
        <is>
          <t>BORLÄNGE</t>
        </is>
      </c>
      <c r="G5966" t="n">
        <v>2</v>
      </c>
      <c r="H5966" t="n">
        <v>0</v>
      </c>
      <c r="I5966" t="n">
        <v>0</v>
      </c>
      <c r="J5966" t="n">
        <v>0</v>
      </c>
      <c r="K5966" t="n">
        <v>0</v>
      </c>
      <c r="L5966" t="n">
        <v>0</v>
      </c>
      <c r="M5966" t="n">
        <v>0</v>
      </c>
      <c r="N5966" t="n">
        <v>0</v>
      </c>
      <c r="O5966" t="n">
        <v>0</v>
      </c>
      <c r="P5966" t="n">
        <v>0</v>
      </c>
      <c r="Q5966" t="n">
        <v>0</v>
      </c>
      <c r="R5966" s="2" t="inlineStr"/>
    </row>
    <row r="5967" ht="15" customHeight="1">
      <c r="A5967" t="inlineStr">
        <is>
          <t>A 34420-2023</t>
        </is>
      </c>
      <c r="B5967" s="1" t="n">
        <v>45139</v>
      </c>
      <c r="C5967" s="1" t="n">
        <v>45210</v>
      </c>
      <c r="D5967" t="inlineStr">
        <is>
          <t>DALARNAS LÄN</t>
        </is>
      </c>
      <c r="E5967" t="inlineStr">
        <is>
          <t>ÄLVDALEN</t>
        </is>
      </c>
      <c r="G5967" t="n">
        <v>1.9</v>
      </c>
      <c r="H5967" t="n">
        <v>0</v>
      </c>
      <c r="I5967" t="n">
        <v>0</v>
      </c>
      <c r="J5967" t="n">
        <v>0</v>
      </c>
      <c r="K5967" t="n">
        <v>0</v>
      </c>
      <c r="L5967" t="n">
        <v>0</v>
      </c>
      <c r="M5967" t="n">
        <v>0</v>
      </c>
      <c r="N5967" t="n">
        <v>0</v>
      </c>
      <c r="O5967" t="n">
        <v>0</v>
      </c>
      <c r="P5967" t="n">
        <v>0</v>
      </c>
      <c r="Q5967" t="n">
        <v>0</v>
      </c>
      <c r="R5967" s="2" t="inlineStr"/>
    </row>
    <row r="5968" ht="15" customHeight="1">
      <c r="A5968" t="inlineStr">
        <is>
          <t>A 34342-2023</t>
        </is>
      </c>
      <c r="B5968" s="1" t="n">
        <v>45139</v>
      </c>
      <c r="C5968" s="1" t="n">
        <v>45210</v>
      </c>
      <c r="D5968" t="inlineStr">
        <is>
          <t>DALARNAS LÄN</t>
        </is>
      </c>
      <c r="E5968" t="inlineStr">
        <is>
          <t>RÄTTVIK</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34630-2023</t>
        </is>
      </c>
      <c r="B5969" s="1" t="n">
        <v>45139</v>
      </c>
      <c r="C5969" s="1" t="n">
        <v>45210</v>
      </c>
      <c r="D5969" t="inlineStr">
        <is>
          <t>DALARNAS LÄN</t>
        </is>
      </c>
      <c r="E5969" t="inlineStr">
        <is>
          <t>RÄTTVIK</t>
        </is>
      </c>
      <c r="G5969" t="n">
        <v>1.3</v>
      </c>
      <c r="H5969" t="n">
        <v>0</v>
      </c>
      <c r="I5969" t="n">
        <v>0</v>
      </c>
      <c r="J5969" t="n">
        <v>0</v>
      </c>
      <c r="K5969" t="n">
        <v>0</v>
      </c>
      <c r="L5969" t="n">
        <v>0</v>
      </c>
      <c r="M5969" t="n">
        <v>0</v>
      </c>
      <c r="N5969" t="n">
        <v>0</v>
      </c>
      <c r="O5969" t="n">
        <v>0</v>
      </c>
      <c r="P5969" t="n">
        <v>0</v>
      </c>
      <c r="Q5969" t="n">
        <v>0</v>
      </c>
      <c r="R5969" s="2" t="inlineStr"/>
    </row>
    <row r="5970" ht="15" customHeight="1">
      <c r="A5970" t="inlineStr">
        <is>
          <t>A 34496-2023</t>
        </is>
      </c>
      <c r="B5970" s="1" t="n">
        <v>45140</v>
      </c>
      <c r="C5970" s="1" t="n">
        <v>45210</v>
      </c>
      <c r="D5970" t="inlineStr">
        <is>
          <t>DALARNAS LÄN</t>
        </is>
      </c>
      <c r="E5970" t="inlineStr">
        <is>
          <t>SÄTER</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34492-2023</t>
        </is>
      </c>
      <c r="B5971" s="1" t="n">
        <v>45140</v>
      </c>
      <c r="C5971" s="1" t="n">
        <v>45210</v>
      </c>
      <c r="D5971" t="inlineStr">
        <is>
          <t>DALARNAS LÄN</t>
        </is>
      </c>
      <c r="E5971" t="inlineStr">
        <is>
          <t>SÄTER</t>
        </is>
      </c>
      <c r="G5971" t="n">
        <v>2.7</v>
      </c>
      <c r="H5971" t="n">
        <v>0</v>
      </c>
      <c r="I5971" t="n">
        <v>0</v>
      </c>
      <c r="J5971" t="n">
        <v>0</v>
      </c>
      <c r="K5971" t="n">
        <v>0</v>
      </c>
      <c r="L5971" t="n">
        <v>0</v>
      </c>
      <c r="M5971" t="n">
        <v>0</v>
      </c>
      <c r="N5971" t="n">
        <v>0</v>
      </c>
      <c r="O5971" t="n">
        <v>0</v>
      </c>
      <c r="P5971" t="n">
        <v>0</v>
      </c>
      <c r="Q5971" t="n">
        <v>0</v>
      </c>
      <c r="R5971" s="2" t="inlineStr"/>
    </row>
    <row r="5972" ht="15" customHeight="1">
      <c r="A5972" t="inlineStr">
        <is>
          <t>A 34544-2023</t>
        </is>
      </c>
      <c r="B5972" s="1" t="n">
        <v>45140</v>
      </c>
      <c r="C5972" s="1" t="n">
        <v>45210</v>
      </c>
      <c r="D5972" t="inlineStr">
        <is>
          <t>DALARNAS LÄN</t>
        </is>
      </c>
      <c r="E5972" t="inlineStr">
        <is>
          <t>ÄLVDALEN</t>
        </is>
      </c>
      <c r="F5972" t="inlineStr">
        <is>
          <t>Övriga statliga verk och myndigheter</t>
        </is>
      </c>
      <c r="G5972" t="n">
        <v>19.7</v>
      </c>
      <c r="H5972" t="n">
        <v>0</v>
      </c>
      <c r="I5972" t="n">
        <v>0</v>
      </c>
      <c r="J5972" t="n">
        <v>0</v>
      </c>
      <c r="K5972" t="n">
        <v>0</v>
      </c>
      <c r="L5972" t="n">
        <v>0</v>
      </c>
      <c r="M5972" t="n">
        <v>0</v>
      </c>
      <c r="N5972" t="n">
        <v>0</v>
      </c>
      <c r="O5972" t="n">
        <v>0</v>
      </c>
      <c r="P5972" t="n">
        <v>0</v>
      </c>
      <c r="Q5972" t="n">
        <v>0</v>
      </c>
      <c r="R5972" s="2" t="inlineStr"/>
    </row>
    <row r="5973" ht="15" customHeight="1">
      <c r="A5973" t="inlineStr">
        <is>
          <t>A 34568-2023</t>
        </is>
      </c>
      <c r="B5973" s="1" t="n">
        <v>45140</v>
      </c>
      <c r="C5973" s="1" t="n">
        <v>45210</v>
      </c>
      <c r="D5973" t="inlineStr">
        <is>
          <t>DALARNAS LÄN</t>
        </is>
      </c>
      <c r="E5973" t="inlineStr">
        <is>
          <t>SMEDJEBACKEN</t>
        </is>
      </c>
      <c r="G5973" t="n">
        <v>10.6</v>
      </c>
      <c r="H5973" t="n">
        <v>0</v>
      </c>
      <c r="I5973" t="n">
        <v>0</v>
      </c>
      <c r="J5973" t="n">
        <v>0</v>
      </c>
      <c r="K5973" t="n">
        <v>0</v>
      </c>
      <c r="L5973" t="n">
        <v>0</v>
      </c>
      <c r="M5973" t="n">
        <v>0</v>
      </c>
      <c r="N5973" t="n">
        <v>0</v>
      </c>
      <c r="O5973" t="n">
        <v>0</v>
      </c>
      <c r="P5973" t="n">
        <v>0</v>
      </c>
      <c r="Q5973" t="n">
        <v>0</v>
      </c>
      <c r="R5973" s="2" t="inlineStr"/>
    </row>
    <row r="5974" ht="15" customHeight="1">
      <c r="A5974" t="inlineStr">
        <is>
          <t>A 34674-2023</t>
        </is>
      </c>
      <c r="B5974" s="1" t="n">
        <v>45140</v>
      </c>
      <c r="C5974" s="1" t="n">
        <v>45210</v>
      </c>
      <c r="D5974" t="inlineStr">
        <is>
          <t>DALARNAS LÄN</t>
        </is>
      </c>
      <c r="E5974" t="inlineStr">
        <is>
          <t>BORLÄNGE</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34835-2023</t>
        </is>
      </c>
      <c r="B5975" s="1" t="n">
        <v>45141</v>
      </c>
      <c r="C5975" s="1" t="n">
        <v>45210</v>
      </c>
      <c r="D5975" t="inlineStr">
        <is>
          <t>DALARNAS LÄN</t>
        </is>
      </c>
      <c r="E5975" t="inlineStr">
        <is>
          <t>ÄLVDALEN</t>
        </is>
      </c>
      <c r="G5975" t="n">
        <v>3.4</v>
      </c>
      <c r="H5975" t="n">
        <v>0</v>
      </c>
      <c r="I5975" t="n">
        <v>0</v>
      </c>
      <c r="J5975" t="n">
        <v>0</v>
      </c>
      <c r="K5975" t="n">
        <v>0</v>
      </c>
      <c r="L5975" t="n">
        <v>0</v>
      </c>
      <c r="M5975" t="n">
        <v>0</v>
      </c>
      <c r="N5975" t="n">
        <v>0</v>
      </c>
      <c r="O5975" t="n">
        <v>0</v>
      </c>
      <c r="P5975" t="n">
        <v>0</v>
      </c>
      <c r="Q5975" t="n">
        <v>0</v>
      </c>
      <c r="R5975" s="2" t="inlineStr"/>
    </row>
    <row r="5976" ht="15" customHeight="1">
      <c r="A5976" t="inlineStr">
        <is>
          <t>A 34940-2023</t>
        </is>
      </c>
      <c r="B5976" s="1" t="n">
        <v>45142</v>
      </c>
      <c r="C5976" s="1" t="n">
        <v>45210</v>
      </c>
      <c r="D5976" t="inlineStr">
        <is>
          <t>DALARNAS LÄN</t>
        </is>
      </c>
      <c r="E5976" t="inlineStr">
        <is>
          <t>FALUN</t>
        </is>
      </c>
      <c r="F5976" t="inlineStr">
        <is>
          <t>Bergvik skog väst AB</t>
        </is>
      </c>
      <c r="G5976" t="n">
        <v>2.3</v>
      </c>
      <c r="H5976" t="n">
        <v>0</v>
      </c>
      <c r="I5976" t="n">
        <v>0</v>
      </c>
      <c r="J5976" t="n">
        <v>0</v>
      </c>
      <c r="K5976" t="n">
        <v>0</v>
      </c>
      <c r="L5976" t="n">
        <v>0</v>
      </c>
      <c r="M5976" t="n">
        <v>0</v>
      </c>
      <c r="N5976" t="n">
        <v>0</v>
      </c>
      <c r="O5976" t="n">
        <v>0</v>
      </c>
      <c r="P5976" t="n">
        <v>0</v>
      </c>
      <c r="Q5976" t="n">
        <v>0</v>
      </c>
      <c r="R5976" s="2" t="inlineStr"/>
    </row>
    <row r="5977" ht="15" customHeight="1">
      <c r="A5977" t="inlineStr">
        <is>
          <t>A 34958-2023</t>
        </is>
      </c>
      <c r="B5977" s="1" t="n">
        <v>45142</v>
      </c>
      <c r="C5977" s="1" t="n">
        <v>45210</v>
      </c>
      <c r="D5977" t="inlineStr">
        <is>
          <t>DALARNAS LÄN</t>
        </is>
      </c>
      <c r="E5977" t="inlineStr">
        <is>
          <t>FALUN</t>
        </is>
      </c>
      <c r="F5977" t="inlineStr">
        <is>
          <t>Bergvik skog väst AB</t>
        </is>
      </c>
      <c r="G5977" t="n">
        <v>19.2</v>
      </c>
      <c r="H5977" t="n">
        <v>0</v>
      </c>
      <c r="I5977" t="n">
        <v>0</v>
      </c>
      <c r="J5977" t="n">
        <v>0</v>
      </c>
      <c r="K5977" t="n">
        <v>0</v>
      </c>
      <c r="L5977" t="n">
        <v>0</v>
      </c>
      <c r="M5977" t="n">
        <v>0</v>
      </c>
      <c r="N5977" t="n">
        <v>0</v>
      </c>
      <c r="O5977" t="n">
        <v>0</v>
      </c>
      <c r="P5977" t="n">
        <v>0</v>
      </c>
      <c r="Q5977" t="n">
        <v>0</v>
      </c>
      <c r="R5977" s="2" t="inlineStr"/>
    </row>
    <row r="5978" ht="15" customHeight="1">
      <c r="A5978" t="inlineStr">
        <is>
          <t>A 35078-2023</t>
        </is>
      </c>
      <c r="B5978" s="1" t="n">
        <v>45142</v>
      </c>
      <c r="C5978" s="1" t="n">
        <v>45210</v>
      </c>
      <c r="D5978" t="inlineStr">
        <is>
          <t>DALARNAS LÄN</t>
        </is>
      </c>
      <c r="E5978" t="inlineStr">
        <is>
          <t>AVESTA</t>
        </is>
      </c>
      <c r="G5978" t="n">
        <v>3.1</v>
      </c>
      <c r="H5978" t="n">
        <v>0</v>
      </c>
      <c r="I5978" t="n">
        <v>0</v>
      </c>
      <c r="J5978" t="n">
        <v>0</v>
      </c>
      <c r="K5978" t="n">
        <v>0</v>
      </c>
      <c r="L5978" t="n">
        <v>0</v>
      </c>
      <c r="M5978" t="n">
        <v>0</v>
      </c>
      <c r="N5978" t="n">
        <v>0</v>
      </c>
      <c r="O5978" t="n">
        <v>0</v>
      </c>
      <c r="P5978" t="n">
        <v>0</v>
      </c>
      <c r="Q5978" t="n">
        <v>0</v>
      </c>
      <c r="R5978" s="2" t="inlineStr"/>
    </row>
    <row r="5979" ht="15" customHeight="1">
      <c r="A5979" t="inlineStr">
        <is>
          <t>A 35121-2023</t>
        </is>
      </c>
      <c r="B5979" s="1" t="n">
        <v>45145</v>
      </c>
      <c r="C5979" s="1" t="n">
        <v>45210</v>
      </c>
      <c r="D5979" t="inlineStr">
        <is>
          <t>DALARNAS LÄN</t>
        </is>
      </c>
      <c r="E5979" t="inlineStr">
        <is>
          <t>RÄTTVIK</t>
        </is>
      </c>
      <c r="F5979" t="inlineStr">
        <is>
          <t>Bergvik skog väst AB</t>
        </is>
      </c>
      <c r="G5979" t="n">
        <v>14.3</v>
      </c>
      <c r="H5979" t="n">
        <v>0</v>
      </c>
      <c r="I5979" t="n">
        <v>0</v>
      </c>
      <c r="J5979" t="n">
        <v>0</v>
      </c>
      <c r="K5979" t="n">
        <v>0</v>
      </c>
      <c r="L5979" t="n">
        <v>0</v>
      </c>
      <c r="M5979" t="n">
        <v>0</v>
      </c>
      <c r="N5979" t="n">
        <v>0</v>
      </c>
      <c r="O5979" t="n">
        <v>0</v>
      </c>
      <c r="P5979" t="n">
        <v>0</v>
      </c>
      <c r="Q5979" t="n">
        <v>0</v>
      </c>
      <c r="R5979" s="2" t="inlineStr"/>
    </row>
    <row r="5980" ht="15" customHeight="1">
      <c r="A5980" t="inlineStr">
        <is>
          <t>A 35163-2023</t>
        </is>
      </c>
      <c r="B5980" s="1" t="n">
        <v>45145</v>
      </c>
      <c r="C5980" s="1" t="n">
        <v>45210</v>
      </c>
      <c r="D5980" t="inlineStr">
        <is>
          <t>DALARNAS LÄN</t>
        </is>
      </c>
      <c r="E5980" t="inlineStr">
        <is>
          <t>SÄTER</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35041-2023</t>
        </is>
      </c>
      <c r="B5981" s="1" t="n">
        <v>45145</v>
      </c>
      <c r="C5981" s="1" t="n">
        <v>45210</v>
      </c>
      <c r="D5981" t="inlineStr">
        <is>
          <t>DALARNAS LÄN</t>
        </is>
      </c>
      <c r="E5981" t="inlineStr">
        <is>
          <t>MORA</t>
        </is>
      </c>
      <c r="G5981" t="n">
        <v>15.4</v>
      </c>
      <c r="H5981" t="n">
        <v>0</v>
      </c>
      <c r="I5981" t="n">
        <v>0</v>
      </c>
      <c r="J5981" t="n">
        <v>0</v>
      </c>
      <c r="K5981" t="n">
        <v>0</v>
      </c>
      <c r="L5981" t="n">
        <v>0</v>
      </c>
      <c r="M5981" t="n">
        <v>0</v>
      </c>
      <c r="N5981" t="n">
        <v>0</v>
      </c>
      <c r="O5981" t="n">
        <v>0</v>
      </c>
      <c r="P5981" t="n">
        <v>0</v>
      </c>
      <c r="Q5981" t="n">
        <v>0</v>
      </c>
      <c r="R5981" s="2" t="inlineStr"/>
    </row>
    <row r="5982" ht="15" customHeight="1">
      <c r="A5982" t="inlineStr">
        <is>
          <t>A 35368-2023</t>
        </is>
      </c>
      <c r="B5982" s="1" t="n">
        <v>45145</v>
      </c>
      <c r="C5982" s="1" t="n">
        <v>45210</v>
      </c>
      <c r="D5982" t="inlineStr">
        <is>
          <t>DALARNAS LÄN</t>
        </is>
      </c>
      <c r="E5982" t="inlineStr">
        <is>
          <t>ÄLVDALEN</t>
        </is>
      </c>
      <c r="G5982" t="n">
        <v>1.6</v>
      </c>
      <c r="H5982" t="n">
        <v>0</v>
      </c>
      <c r="I5982" t="n">
        <v>0</v>
      </c>
      <c r="J5982" t="n">
        <v>0</v>
      </c>
      <c r="K5982" t="n">
        <v>0</v>
      </c>
      <c r="L5982" t="n">
        <v>0</v>
      </c>
      <c r="M5982" t="n">
        <v>0</v>
      </c>
      <c r="N5982" t="n">
        <v>0</v>
      </c>
      <c r="O5982" t="n">
        <v>0</v>
      </c>
      <c r="P5982" t="n">
        <v>0</v>
      </c>
      <c r="Q5982" t="n">
        <v>0</v>
      </c>
      <c r="R5982" s="2" t="inlineStr"/>
    </row>
    <row r="5983" ht="15" customHeight="1">
      <c r="A5983" t="inlineStr">
        <is>
          <t>A 35228-2023</t>
        </is>
      </c>
      <c r="B5983" s="1" t="n">
        <v>45145</v>
      </c>
      <c r="C5983" s="1" t="n">
        <v>45210</v>
      </c>
      <c r="D5983" t="inlineStr">
        <is>
          <t>DALARNAS LÄN</t>
        </is>
      </c>
      <c r="E5983" t="inlineStr">
        <is>
          <t>LEKSAND</t>
        </is>
      </c>
      <c r="G5983" t="n">
        <v>3.7</v>
      </c>
      <c r="H5983" t="n">
        <v>0</v>
      </c>
      <c r="I5983" t="n">
        <v>0</v>
      </c>
      <c r="J5983" t="n">
        <v>0</v>
      </c>
      <c r="K5983" t="n">
        <v>0</v>
      </c>
      <c r="L5983" t="n">
        <v>0</v>
      </c>
      <c r="M5983" t="n">
        <v>0</v>
      </c>
      <c r="N5983" t="n">
        <v>0</v>
      </c>
      <c r="O5983" t="n">
        <v>0</v>
      </c>
      <c r="P5983" t="n">
        <v>0</v>
      </c>
      <c r="Q5983" t="n">
        <v>0</v>
      </c>
      <c r="R5983" s="2" t="inlineStr"/>
    </row>
    <row r="5984" ht="15" customHeight="1">
      <c r="A5984" t="inlineStr">
        <is>
          <t>A 35156-2023</t>
        </is>
      </c>
      <c r="B5984" s="1" t="n">
        <v>45145</v>
      </c>
      <c r="C5984" s="1" t="n">
        <v>45210</v>
      </c>
      <c r="D5984" t="inlineStr">
        <is>
          <t>DALARNAS LÄN</t>
        </is>
      </c>
      <c r="E5984" t="inlineStr">
        <is>
          <t>VANSBRO</t>
        </is>
      </c>
      <c r="G5984" t="n">
        <v>1.4</v>
      </c>
      <c r="H5984" t="n">
        <v>0</v>
      </c>
      <c r="I5984" t="n">
        <v>0</v>
      </c>
      <c r="J5984" t="n">
        <v>0</v>
      </c>
      <c r="K5984" t="n">
        <v>0</v>
      </c>
      <c r="L5984" t="n">
        <v>0</v>
      </c>
      <c r="M5984" t="n">
        <v>0</v>
      </c>
      <c r="N5984" t="n">
        <v>0</v>
      </c>
      <c r="O5984" t="n">
        <v>0</v>
      </c>
      <c r="P5984" t="n">
        <v>0</v>
      </c>
      <c r="Q5984" t="n">
        <v>0</v>
      </c>
      <c r="R5984" s="2" t="inlineStr"/>
    </row>
    <row r="5985" ht="15" customHeight="1">
      <c r="A5985" t="inlineStr">
        <is>
          <t>A 35235-2023</t>
        </is>
      </c>
      <c r="B5985" s="1" t="n">
        <v>45145</v>
      </c>
      <c r="C5985" s="1" t="n">
        <v>45210</v>
      </c>
      <c r="D5985" t="inlineStr">
        <is>
          <t>DALARNAS LÄN</t>
        </is>
      </c>
      <c r="E5985" t="inlineStr">
        <is>
          <t>ORSA</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35300-2023</t>
        </is>
      </c>
      <c r="B5986" s="1" t="n">
        <v>45146</v>
      </c>
      <c r="C5986" s="1" t="n">
        <v>45210</v>
      </c>
      <c r="D5986" t="inlineStr">
        <is>
          <t>DALARNAS LÄN</t>
        </is>
      </c>
      <c r="E5986" t="inlineStr">
        <is>
          <t>FALUN</t>
        </is>
      </c>
      <c r="G5986" t="n">
        <v>2.8</v>
      </c>
      <c r="H5986" t="n">
        <v>0</v>
      </c>
      <c r="I5986" t="n">
        <v>0</v>
      </c>
      <c r="J5986" t="n">
        <v>0</v>
      </c>
      <c r="K5986" t="n">
        <v>0</v>
      </c>
      <c r="L5986" t="n">
        <v>0</v>
      </c>
      <c r="M5986" t="n">
        <v>0</v>
      </c>
      <c r="N5986" t="n">
        <v>0</v>
      </c>
      <c r="O5986" t="n">
        <v>0</v>
      </c>
      <c r="P5986" t="n">
        <v>0</v>
      </c>
      <c r="Q5986" t="n">
        <v>0</v>
      </c>
      <c r="R5986" s="2" t="inlineStr"/>
    </row>
    <row r="5987" ht="15" customHeight="1">
      <c r="A5987" t="inlineStr">
        <is>
          <t>A 35477-2023</t>
        </is>
      </c>
      <c r="B5987" s="1" t="n">
        <v>45146</v>
      </c>
      <c r="C5987" s="1" t="n">
        <v>45210</v>
      </c>
      <c r="D5987" t="inlineStr">
        <is>
          <t>DALARNAS LÄN</t>
        </is>
      </c>
      <c r="E5987" t="inlineStr">
        <is>
          <t>ORSA</t>
        </is>
      </c>
      <c r="G5987" t="n">
        <v>7.7</v>
      </c>
      <c r="H5987" t="n">
        <v>0</v>
      </c>
      <c r="I5987" t="n">
        <v>0</v>
      </c>
      <c r="J5987" t="n">
        <v>0</v>
      </c>
      <c r="K5987" t="n">
        <v>0</v>
      </c>
      <c r="L5987" t="n">
        <v>0</v>
      </c>
      <c r="M5987" t="n">
        <v>0</v>
      </c>
      <c r="N5987" t="n">
        <v>0</v>
      </c>
      <c r="O5987" t="n">
        <v>0</v>
      </c>
      <c r="P5987" t="n">
        <v>0</v>
      </c>
      <c r="Q5987" t="n">
        <v>0</v>
      </c>
      <c r="R5987" s="2" t="inlineStr"/>
    </row>
    <row r="5988" ht="15" customHeight="1">
      <c r="A5988" t="inlineStr">
        <is>
          <t>A 35501-2023</t>
        </is>
      </c>
      <c r="B5988" s="1" t="n">
        <v>45146</v>
      </c>
      <c r="C5988" s="1" t="n">
        <v>45210</v>
      </c>
      <c r="D5988" t="inlineStr">
        <is>
          <t>DALARNAS LÄN</t>
        </is>
      </c>
      <c r="E5988" t="inlineStr">
        <is>
          <t>BORLÄNGE</t>
        </is>
      </c>
      <c r="G5988" t="n">
        <v>0.3</v>
      </c>
      <c r="H5988" t="n">
        <v>0</v>
      </c>
      <c r="I5988" t="n">
        <v>0</v>
      </c>
      <c r="J5988" t="n">
        <v>0</v>
      </c>
      <c r="K5988" t="n">
        <v>0</v>
      </c>
      <c r="L5988" t="n">
        <v>0</v>
      </c>
      <c r="M5988" t="n">
        <v>0</v>
      </c>
      <c r="N5988" t="n">
        <v>0</v>
      </c>
      <c r="O5988" t="n">
        <v>0</v>
      </c>
      <c r="P5988" t="n">
        <v>0</v>
      </c>
      <c r="Q5988" t="n">
        <v>0</v>
      </c>
      <c r="R5988" s="2" t="inlineStr"/>
    </row>
    <row r="5989" ht="15" customHeight="1">
      <c r="A5989" t="inlineStr">
        <is>
          <t>A 35720-2023</t>
        </is>
      </c>
      <c r="B5989" s="1" t="n">
        <v>45147</v>
      </c>
      <c r="C5989" s="1" t="n">
        <v>45210</v>
      </c>
      <c r="D5989" t="inlineStr">
        <is>
          <t>DALARNAS LÄN</t>
        </is>
      </c>
      <c r="E5989" t="inlineStr">
        <is>
          <t>SMEDJEBACKEN</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35903-2023</t>
        </is>
      </c>
      <c r="B5990" s="1" t="n">
        <v>45148</v>
      </c>
      <c r="C5990" s="1" t="n">
        <v>45210</v>
      </c>
      <c r="D5990" t="inlineStr">
        <is>
          <t>DALARNAS LÄN</t>
        </is>
      </c>
      <c r="E5990" t="inlineStr">
        <is>
          <t>FALUN</t>
        </is>
      </c>
      <c r="F5990" t="inlineStr">
        <is>
          <t>Bergvik skog väst AB</t>
        </is>
      </c>
      <c r="G5990" t="n">
        <v>2.4</v>
      </c>
      <c r="H5990" t="n">
        <v>0</v>
      </c>
      <c r="I5990" t="n">
        <v>0</v>
      </c>
      <c r="J5990" t="n">
        <v>0</v>
      </c>
      <c r="K5990" t="n">
        <v>0</v>
      </c>
      <c r="L5990" t="n">
        <v>0</v>
      </c>
      <c r="M5990" t="n">
        <v>0</v>
      </c>
      <c r="N5990" t="n">
        <v>0</v>
      </c>
      <c r="O5990" t="n">
        <v>0</v>
      </c>
      <c r="P5990" t="n">
        <v>0</v>
      </c>
      <c r="Q5990" t="n">
        <v>0</v>
      </c>
      <c r="R5990" s="2" t="inlineStr"/>
    </row>
    <row r="5991" ht="15" customHeight="1">
      <c r="A5991" t="inlineStr">
        <is>
          <t>A 36005-2023</t>
        </is>
      </c>
      <c r="B5991" s="1" t="n">
        <v>45148</v>
      </c>
      <c r="C5991" s="1" t="n">
        <v>45210</v>
      </c>
      <c r="D5991" t="inlineStr">
        <is>
          <t>DALARNAS LÄN</t>
        </is>
      </c>
      <c r="E5991" t="inlineStr">
        <is>
          <t>GAGNEF</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35784-2023</t>
        </is>
      </c>
      <c r="B5992" s="1" t="n">
        <v>45148</v>
      </c>
      <c r="C5992" s="1" t="n">
        <v>45210</v>
      </c>
      <c r="D5992" t="inlineStr">
        <is>
          <t>DALARNAS LÄN</t>
        </is>
      </c>
      <c r="E5992" t="inlineStr">
        <is>
          <t>SÄTER</t>
        </is>
      </c>
      <c r="G5992" t="n">
        <v>8</v>
      </c>
      <c r="H5992" t="n">
        <v>0</v>
      </c>
      <c r="I5992" t="n">
        <v>0</v>
      </c>
      <c r="J5992" t="n">
        <v>0</v>
      </c>
      <c r="K5992" t="n">
        <v>0</v>
      </c>
      <c r="L5992" t="n">
        <v>0</v>
      </c>
      <c r="M5992" t="n">
        <v>0</v>
      </c>
      <c r="N5992" t="n">
        <v>0</v>
      </c>
      <c r="O5992" t="n">
        <v>0</v>
      </c>
      <c r="P5992" t="n">
        <v>0</v>
      </c>
      <c r="Q5992" t="n">
        <v>0</v>
      </c>
      <c r="R5992" s="2" t="inlineStr"/>
    </row>
    <row r="5993" ht="15" customHeight="1">
      <c r="A5993" t="inlineStr">
        <is>
          <t>A 35910-2023</t>
        </is>
      </c>
      <c r="B5993" s="1" t="n">
        <v>45148</v>
      </c>
      <c r="C5993" s="1" t="n">
        <v>45210</v>
      </c>
      <c r="D5993" t="inlineStr">
        <is>
          <t>DALARNAS LÄN</t>
        </is>
      </c>
      <c r="E5993" t="inlineStr">
        <is>
          <t>FALUN</t>
        </is>
      </c>
      <c r="F5993" t="inlineStr">
        <is>
          <t>Bergvik skog väst AB</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36011-2023</t>
        </is>
      </c>
      <c r="B5994" s="1" t="n">
        <v>45148</v>
      </c>
      <c r="C5994" s="1" t="n">
        <v>45210</v>
      </c>
      <c r="D5994" t="inlineStr">
        <is>
          <t>DALARNAS LÄN</t>
        </is>
      </c>
      <c r="E5994" t="inlineStr">
        <is>
          <t>GAGNEF</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36040-2023</t>
        </is>
      </c>
      <c r="B5995" s="1" t="n">
        <v>45148</v>
      </c>
      <c r="C5995" s="1" t="n">
        <v>45210</v>
      </c>
      <c r="D5995" t="inlineStr">
        <is>
          <t>DALARNAS LÄN</t>
        </is>
      </c>
      <c r="E5995" t="inlineStr">
        <is>
          <t>RÄTTVIK</t>
        </is>
      </c>
      <c r="G5995" t="n">
        <v>3.3</v>
      </c>
      <c r="H5995" t="n">
        <v>0</v>
      </c>
      <c r="I5995" t="n">
        <v>0</v>
      </c>
      <c r="J5995" t="n">
        <v>0</v>
      </c>
      <c r="K5995" t="n">
        <v>0</v>
      </c>
      <c r="L5995" t="n">
        <v>0</v>
      </c>
      <c r="M5995" t="n">
        <v>0</v>
      </c>
      <c r="N5995" t="n">
        <v>0</v>
      </c>
      <c r="O5995" t="n">
        <v>0</v>
      </c>
      <c r="P5995" t="n">
        <v>0</v>
      </c>
      <c r="Q5995" t="n">
        <v>0</v>
      </c>
      <c r="R5995" s="2" t="inlineStr"/>
    </row>
    <row r="5996" ht="15" customHeight="1">
      <c r="A5996" t="inlineStr">
        <is>
          <t>A 35789-2023</t>
        </is>
      </c>
      <c r="B5996" s="1" t="n">
        <v>45148</v>
      </c>
      <c r="C5996" s="1" t="n">
        <v>45210</v>
      </c>
      <c r="D5996" t="inlineStr">
        <is>
          <t>DALARNAS LÄN</t>
        </is>
      </c>
      <c r="E5996" t="inlineStr">
        <is>
          <t>LUDVIKA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35917-2023</t>
        </is>
      </c>
      <c r="B5997" s="1" t="n">
        <v>45148</v>
      </c>
      <c r="C5997" s="1" t="n">
        <v>45210</v>
      </c>
      <c r="D5997" t="inlineStr">
        <is>
          <t>DALARNAS LÄN</t>
        </is>
      </c>
      <c r="E5997" t="inlineStr">
        <is>
          <t>FALUN</t>
        </is>
      </c>
      <c r="F5997" t="inlineStr">
        <is>
          <t>Bergvik skog väst AB</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35923-2023</t>
        </is>
      </c>
      <c r="B5998" s="1" t="n">
        <v>45148</v>
      </c>
      <c r="C5998" s="1" t="n">
        <v>45210</v>
      </c>
      <c r="D5998" t="inlineStr">
        <is>
          <t>DALARNAS LÄN</t>
        </is>
      </c>
      <c r="E5998" t="inlineStr">
        <is>
          <t>MORA</t>
        </is>
      </c>
      <c r="G5998" t="n">
        <v>10.7</v>
      </c>
      <c r="H5998" t="n">
        <v>0</v>
      </c>
      <c r="I5998" t="n">
        <v>0</v>
      </c>
      <c r="J5998" t="n">
        <v>0</v>
      </c>
      <c r="K5998" t="n">
        <v>0</v>
      </c>
      <c r="L5998" t="n">
        <v>0</v>
      </c>
      <c r="M5998" t="n">
        <v>0</v>
      </c>
      <c r="N5998" t="n">
        <v>0</v>
      </c>
      <c r="O5998" t="n">
        <v>0</v>
      </c>
      <c r="P5998" t="n">
        <v>0</v>
      </c>
      <c r="Q5998" t="n">
        <v>0</v>
      </c>
      <c r="R5998" s="2" t="inlineStr"/>
    </row>
    <row r="5999" ht="15" customHeight="1">
      <c r="A5999" t="inlineStr">
        <is>
          <t>A 35943-2023</t>
        </is>
      </c>
      <c r="B5999" s="1" t="n">
        <v>45148</v>
      </c>
      <c r="C5999" s="1" t="n">
        <v>45210</v>
      </c>
      <c r="D5999" t="inlineStr">
        <is>
          <t>DALARNAS LÄN</t>
        </is>
      </c>
      <c r="E5999" t="inlineStr">
        <is>
          <t>FALUN</t>
        </is>
      </c>
      <c r="G5999" t="n">
        <v>0.5</v>
      </c>
      <c r="H5999" t="n">
        <v>0</v>
      </c>
      <c r="I5999" t="n">
        <v>0</v>
      </c>
      <c r="J5999" t="n">
        <v>0</v>
      </c>
      <c r="K5999" t="n">
        <v>0</v>
      </c>
      <c r="L5999" t="n">
        <v>0</v>
      </c>
      <c r="M5999" t="n">
        <v>0</v>
      </c>
      <c r="N5999" t="n">
        <v>0</v>
      </c>
      <c r="O5999" t="n">
        <v>0</v>
      </c>
      <c r="P5999" t="n">
        <v>0</v>
      </c>
      <c r="Q5999" t="n">
        <v>0</v>
      </c>
      <c r="R5999" s="2" t="inlineStr"/>
    </row>
    <row r="6000" ht="15" customHeight="1">
      <c r="A6000" t="inlineStr">
        <is>
          <t>A 36024-2023</t>
        </is>
      </c>
      <c r="B6000" s="1" t="n">
        <v>45149</v>
      </c>
      <c r="C6000" s="1" t="n">
        <v>45210</v>
      </c>
      <c r="D6000" t="inlineStr">
        <is>
          <t>DALARNAS LÄN</t>
        </is>
      </c>
      <c r="E6000" t="inlineStr">
        <is>
          <t>MALUNG-SÄLEN</t>
        </is>
      </c>
      <c r="F6000" t="inlineStr">
        <is>
          <t>Bergvik skog öst AB</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36093-2023</t>
        </is>
      </c>
      <c r="B6001" s="1" t="n">
        <v>45149</v>
      </c>
      <c r="C6001" s="1" t="n">
        <v>45210</v>
      </c>
      <c r="D6001" t="inlineStr">
        <is>
          <t>DALARNAS LÄN</t>
        </is>
      </c>
      <c r="E6001" t="inlineStr">
        <is>
          <t>ORSA</t>
        </is>
      </c>
      <c r="F6001" t="inlineStr">
        <is>
          <t>Allmännings- och besparingsskogar</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36063-2023</t>
        </is>
      </c>
      <c r="B6002" s="1" t="n">
        <v>45149</v>
      </c>
      <c r="C6002" s="1" t="n">
        <v>45210</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36073-2023</t>
        </is>
      </c>
      <c r="B6003" s="1" t="n">
        <v>45149</v>
      </c>
      <c r="C6003" s="1" t="n">
        <v>45210</v>
      </c>
      <c r="D6003" t="inlineStr">
        <is>
          <t>DALARNAS LÄN</t>
        </is>
      </c>
      <c r="E6003" t="inlineStr">
        <is>
          <t>LUDVIKA</t>
        </is>
      </c>
      <c r="F6003" t="inlineStr">
        <is>
          <t>Bergvik skog väst AB</t>
        </is>
      </c>
      <c r="G6003" t="n">
        <v>1.8</v>
      </c>
      <c r="H6003" t="n">
        <v>0</v>
      </c>
      <c r="I6003" t="n">
        <v>0</v>
      </c>
      <c r="J6003" t="n">
        <v>0</v>
      </c>
      <c r="K6003" t="n">
        <v>0</v>
      </c>
      <c r="L6003" t="n">
        <v>0</v>
      </c>
      <c r="M6003" t="n">
        <v>0</v>
      </c>
      <c r="N6003" t="n">
        <v>0</v>
      </c>
      <c r="O6003" t="n">
        <v>0</v>
      </c>
      <c r="P6003" t="n">
        <v>0</v>
      </c>
      <c r="Q6003" t="n">
        <v>0</v>
      </c>
      <c r="R6003" s="2" t="inlineStr"/>
    </row>
    <row r="6004" ht="15" customHeight="1">
      <c r="A6004" t="inlineStr">
        <is>
          <t>A 36083-2023</t>
        </is>
      </c>
      <c r="B6004" s="1" t="n">
        <v>45149</v>
      </c>
      <c r="C6004" s="1" t="n">
        <v>45210</v>
      </c>
      <c r="D6004" t="inlineStr">
        <is>
          <t>DALARNAS LÄN</t>
        </is>
      </c>
      <c r="E6004" t="inlineStr">
        <is>
          <t>LUDVIKA</t>
        </is>
      </c>
      <c r="F6004" t="inlineStr">
        <is>
          <t>Bergvik skog väst AB</t>
        </is>
      </c>
      <c r="G6004" t="n">
        <v>12.1</v>
      </c>
      <c r="H6004" t="n">
        <v>0</v>
      </c>
      <c r="I6004" t="n">
        <v>0</v>
      </c>
      <c r="J6004" t="n">
        <v>0</v>
      </c>
      <c r="K6004" t="n">
        <v>0</v>
      </c>
      <c r="L6004" t="n">
        <v>0</v>
      </c>
      <c r="M6004" t="n">
        <v>0</v>
      </c>
      <c r="N6004" t="n">
        <v>0</v>
      </c>
      <c r="O6004" t="n">
        <v>0</v>
      </c>
      <c r="P6004" t="n">
        <v>0</v>
      </c>
      <c r="Q6004" t="n">
        <v>0</v>
      </c>
      <c r="R6004" s="2" t="inlineStr"/>
    </row>
    <row r="6005" ht="15" customHeight="1">
      <c r="A6005" t="inlineStr">
        <is>
          <t>A 36466-2023</t>
        </is>
      </c>
      <c r="B6005" s="1" t="n">
        <v>45152</v>
      </c>
      <c r="C6005" s="1" t="n">
        <v>45210</v>
      </c>
      <c r="D6005" t="inlineStr">
        <is>
          <t>DALARNAS LÄN</t>
        </is>
      </c>
      <c r="E6005" t="inlineStr">
        <is>
          <t>MALUNG-SÄLEN</t>
        </is>
      </c>
      <c r="F6005" t="inlineStr">
        <is>
          <t>Bergvik skog väst AB</t>
        </is>
      </c>
      <c r="G6005" t="n">
        <v>0.2</v>
      </c>
      <c r="H6005" t="n">
        <v>0</v>
      </c>
      <c r="I6005" t="n">
        <v>0</v>
      </c>
      <c r="J6005" t="n">
        <v>0</v>
      </c>
      <c r="K6005" t="n">
        <v>0</v>
      </c>
      <c r="L6005" t="n">
        <v>0</v>
      </c>
      <c r="M6005" t="n">
        <v>0</v>
      </c>
      <c r="N6005" t="n">
        <v>0</v>
      </c>
      <c r="O6005" t="n">
        <v>0</v>
      </c>
      <c r="P6005" t="n">
        <v>0</v>
      </c>
      <c r="Q6005" t="n">
        <v>0</v>
      </c>
      <c r="R6005" s="2" t="inlineStr"/>
    </row>
    <row r="6006" ht="15" customHeight="1">
      <c r="A6006" t="inlineStr">
        <is>
          <t>A 36614-2023</t>
        </is>
      </c>
      <c r="B6006" s="1" t="n">
        <v>45153</v>
      </c>
      <c r="C6006" s="1" t="n">
        <v>45210</v>
      </c>
      <c r="D6006" t="inlineStr">
        <is>
          <t>DALARNAS LÄN</t>
        </is>
      </c>
      <c r="E6006" t="inlineStr">
        <is>
          <t>SMEDJEBACKEN</t>
        </is>
      </c>
      <c r="G6006" t="n">
        <v>8</v>
      </c>
      <c r="H6006" t="n">
        <v>0</v>
      </c>
      <c r="I6006" t="n">
        <v>0</v>
      </c>
      <c r="J6006" t="n">
        <v>0</v>
      </c>
      <c r="K6006" t="n">
        <v>0</v>
      </c>
      <c r="L6006" t="n">
        <v>0</v>
      </c>
      <c r="M6006" t="n">
        <v>0</v>
      </c>
      <c r="N6006" t="n">
        <v>0</v>
      </c>
      <c r="O6006" t="n">
        <v>0</v>
      </c>
      <c r="P6006" t="n">
        <v>0</v>
      </c>
      <c r="Q6006" t="n">
        <v>0</v>
      </c>
      <c r="R6006" s="2" t="inlineStr"/>
    </row>
    <row r="6007" ht="15" customHeight="1">
      <c r="A6007" t="inlineStr">
        <is>
          <t>A 36600-2023</t>
        </is>
      </c>
      <c r="B6007" s="1" t="n">
        <v>45153</v>
      </c>
      <c r="C6007" s="1" t="n">
        <v>45210</v>
      </c>
      <c r="D6007" t="inlineStr">
        <is>
          <t>DALARNAS LÄN</t>
        </is>
      </c>
      <c r="E6007" t="inlineStr">
        <is>
          <t>MORA</t>
        </is>
      </c>
      <c r="G6007" t="n">
        <v>7.3</v>
      </c>
      <c r="H6007" t="n">
        <v>0</v>
      </c>
      <c r="I6007" t="n">
        <v>0</v>
      </c>
      <c r="J6007" t="n">
        <v>0</v>
      </c>
      <c r="K6007" t="n">
        <v>0</v>
      </c>
      <c r="L6007" t="n">
        <v>0</v>
      </c>
      <c r="M6007" t="n">
        <v>0</v>
      </c>
      <c r="N6007" t="n">
        <v>0</v>
      </c>
      <c r="O6007" t="n">
        <v>0</v>
      </c>
      <c r="P6007" t="n">
        <v>0</v>
      </c>
      <c r="Q6007" t="n">
        <v>0</v>
      </c>
      <c r="R6007" s="2" t="inlineStr"/>
    </row>
    <row r="6008" ht="15" customHeight="1">
      <c r="A6008" t="inlineStr">
        <is>
          <t>A 36780-2023</t>
        </is>
      </c>
      <c r="B6008" s="1" t="n">
        <v>45154</v>
      </c>
      <c r="C6008" s="1" t="n">
        <v>45210</v>
      </c>
      <c r="D6008" t="inlineStr">
        <is>
          <t>DALARNAS LÄN</t>
        </is>
      </c>
      <c r="E6008" t="inlineStr">
        <is>
          <t>FALUN</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37024-2023</t>
        </is>
      </c>
      <c r="B6009" s="1" t="n">
        <v>45154</v>
      </c>
      <c r="C6009" s="1" t="n">
        <v>45210</v>
      </c>
      <c r="D6009" t="inlineStr">
        <is>
          <t>DALARNAS LÄN</t>
        </is>
      </c>
      <c r="E6009" t="inlineStr">
        <is>
          <t>SMEDJEBACKEN</t>
        </is>
      </c>
      <c r="G6009" t="n">
        <v>3.2</v>
      </c>
      <c r="H6009" t="n">
        <v>0</v>
      </c>
      <c r="I6009" t="n">
        <v>0</v>
      </c>
      <c r="J6009" t="n">
        <v>0</v>
      </c>
      <c r="K6009" t="n">
        <v>0</v>
      </c>
      <c r="L6009" t="n">
        <v>0</v>
      </c>
      <c r="M6009" t="n">
        <v>0</v>
      </c>
      <c r="N6009" t="n">
        <v>0</v>
      </c>
      <c r="O6009" t="n">
        <v>0</v>
      </c>
      <c r="P6009" t="n">
        <v>0</v>
      </c>
      <c r="Q6009" t="n">
        <v>0</v>
      </c>
      <c r="R6009" s="2" t="inlineStr"/>
    </row>
    <row r="6010" ht="15" customHeight="1">
      <c r="A6010" t="inlineStr">
        <is>
          <t>A 37606-2023</t>
        </is>
      </c>
      <c r="B6010" s="1" t="n">
        <v>45159</v>
      </c>
      <c r="C6010" s="1" t="n">
        <v>45210</v>
      </c>
      <c r="D6010" t="inlineStr">
        <is>
          <t>DALARNAS LÄN</t>
        </is>
      </c>
      <c r="E6010" t="inlineStr">
        <is>
          <t>ORSA</t>
        </is>
      </c>
      <c r="F6010" t="inlineStr">
        <is>
          <t>Allmännings- och besparingsskogar</t>
        </is>
      </c>
      <c r="G6010" t="n">
        <v>6.1</v>
      </c>
      <c r="H6010" t="n">
        <v>0</v>
      </c>
      <c r="I6010" t="n">
        <v>0</v>
      </c>
      <c r="J6010" t="n">
        <v>0</v>
      </c>
      <c r="K6010" t="n">
        <v>0</v>
      </c>
      <c r="L6010" t="n">
        <v>0</v>
      </c>
      <c r="M6010" t="n">
        <v>0</v>
      </c>
      <c r="N6010" t="n">
        <v>0</v>
      </c>
      <c r="O6010" t="n">
        <v>0</v>
      </c>
      <c r="P6010" t="n">
        <v>0</v>
      </c>
      <c r="Q6010" t="n">
        <v>0</v>
      </c>
      <c r="R6010" s="2" t="inlineStr"/>
    </row>
    <row r="6011" ht="15" customHeight="1">
      <c r="A6011" t="inlineStr">
        <is>
          <t>A 37760-2023</t>
        </is>
      </c>
      <c r="B6011" s="1" t="n">
        <v>45159</v>
      </c>
      <c r="C6011" s="1" t="n">
        <v>45210</v>
      </c>
      <c r="D6011" t="inlineStr">
        <is>
          <t>DALARNAS LÄN</t>
        </is>
      </c>
      <c r="E6011" t="inlineStr">
        <is>
          <t>ÄLVDALEN</t>
        </is>
      </c>
      <c r="F6011" t="inlineStr">
        <is>
          <t>Sveaskog</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37750-2023</t>
        </is>
      </c>
      <c r="B6012" s="1" t="n">
        <v>45159</v>
      </c>
      <c r="C6012" s="1" t="n">
        <v>45210</v>
      </c>
      <c r="D6012" t="inlineStr">
        <is>
          <t>DALARNAS LÄN</t>
        </is>
      </c>
      <c r="E6012" t="inlineStr">
        <is>
          <t>FALUN</t>
        </is>
      </c>
      <c r="G6012" t="n">
        <v>20.2</v>
      </c>
      <c r="H6012" t="n">
        <v>0</v>
      </c>
      <c r="I6012" t="n">
        <v>0</v>
      </c>
      <c r="J6012" t="n">
        <v>0</v>
      </c>
      <c r="K6012" t="n">
        <v>0</v>
      </c>
      <c r="L6012" t="n">
        <v>0</v>
      </c>
      <c r="M6012" t="n">
        <v>0</v>
      </c>
      <c r="N6012" t="n">
        <v>0</v>
      </c>
      <c r="O6012" t="n">
        <v>0</v>
      </c>
      <c r="P6012" t="n">
        <v>0</v>
      </c>
      <c r="Q6012" t="n">
        <v>0</v>
      </c>
      <c r="R6012" s="2" t="inlineStr"/>
    </row>
    <row r="6013" ht="15" customHeight="1">
      <c r="A6013" t="inlineStr">
        <is>
          <t>A 37770-2023</t>
        </is>
      </c>
      <c r="B6013" s="1" t="n">
        <v>45159</v>
      </c>
      <c r="C6013" s="1" t="n">
        <v>45210</v>
      </c>
      <c r="D6013" t="inlineStr">
        <is>
          <t>DALARNAS LÄN</t>
        </is>
      </c>
      <c r="E6013" t="inlineStr">
        <is>
          <t>ORSA</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38065-2023</t>
        </is>
      </c>
      <c r="B6014" s="1" t="n">
        <v>45159</v>
      </c>
      <c r="C6014" s="1" t="n">
        <v>45210</v>
      </c>
      <c r="D6014" t="inlineStr">
        <is>
          <t>DALARNAS LÄN</t>
        </is>
      </c>
      <c r="E6014" t="inlineStr">
        <is>
          <t>RÄTTVIK</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37730-2023</t>
        </is>
      </c>
      <c r="B6015" s="1" t="n">
        <v>45159</v>
      </c>
      <c r="C6015" s="1" t="n">
        <v>45210</v>
      </c>
      <c r="D6015" t="inlineStr">
        <is>
          <t>DALARNAS LÄN</t>
        </is>
      </c>
      <c r="E6015" t="inlineStr">
        <is>
          <t>ÄLVDALEN</t>
        </is>
      </c>
      <c r="G6015" t="n">
        <v>5.4</v>
      </c>
      <c r="H6015" t="n">
        <v>0</v>
      </c>
      <c r="I6015" t="n">
        <v>0</v>
      </c>
      <c r="J6015" t="n">
        <v>0</v>
      </c>
      <c r="K6015" t="n">
        <v>0</v>
      </c>
      <c r="L6015" t="n">
        <v>0</v>
      </c>
      <c r="M6015" t="n">
        <v>0</v>
      </c>
      <c r="N6015" t="n">
        <v>0</v>
      </c>
      <c r="O6015" t="n">
        <v>0</v>
      </c>
      <c r="P6015" t="n">
        <v>0</v>
      </c>
      <c r="Q6015" t="n">
        <v>0</v>
      </c>
      <c r="R6015" s="2" t="inlineStr"/>
    </row>
    <row r="6016" ht="15" customHeight="1">
      <c r="A6016" t="inlineStr">
        <is>
          <t>A 37659-2023</t>
        </is>
      </c>
      <c r="B6016" s="1" t="n">
        <v>45159</v>
      </c>
      <c r="C6016" s="1" t="n">
        <v>45210</v>
      </c>
      <c r="D6016" t="inlineStr">
        <is>
          <t>DALARNAS LÄN</t>
        </is>
      </c>
      <c r="E6016" t="inlineStr">
        <is>
          <t>RÄTTVIK</t>
        </is>
      </c>
      <c r="F6016" t="inlineStr">
        <is>
          <t>Sveaskog</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37759-2023</t>
        </is>
      </c>
      <c r="B6017" s="1" t="n">
        <v>45159</v>
      </c>
      <c r="C6017" s="1" t="n">
        <v>45210</v>
      </c>
      <c r="D6017" t="inlineStr">
        <is>
          <t>DALARNAS LÄN</t>
        </is>
      </c>
      <c r="E6017" t="inlineStr">
        <is>
          <t>ÄLVDALEN</t>
        </is>
      </c>
      <c r="F6017" t="inlineStr">
        <is>
          <t>Sveaskog</t>
        </is>
      </c>
      <c r="G6017" t="n">
        <v>2.1</v>
      </c>
      <c r="H6017" t="n">
        <v>0</v>
      </c>
      <c r="I6017" t="n">
        <v>0</v>
      </c>
      <c r="J6017" t="n">
        <v>0</v>
      </c>
      <c r="K6017" t="n">
        <v>0</v>
      </c>
      <c r="L6017" t="n">
        <v>0</v>
      </c>
      <c r="M6017" t="n">
        <v>0</v>
      </c>
      <c r="N6017" t="n">
        <v>0</v>
      </c>
      <c r="O6017" t="n">
        <v>0</v>
      </c>
      <c r="P6017" t="n">
        <v>0</v>
      </c>
      <c r="Q6017" t="n">
        <v>0</v>
      </c>
      <c r="R6017" s="2" t="inlineStr"/>
    </row>
    <row r="6018" ht="15" customHeight="1">
      <c r="A6018" t="inlineStr">
        <is>
          <t>A 37839-2023</t>
        </is>
      </c>
      <c r="B6018" s="1" t="n">
        <v>45160</v>
      </c>
      <c r="C6018" s="1" t="n">
        <v>45210</v>
      </c>
      <c r="D6018" t="inlineStr">
        <is>
          <t>DALARNAS LÄN</t>
        </is>
      </c>
      <c r="E6018" t="inlineStr">
        <is>
          <t>RÄTTVIK</t>
        </is>
      </c>
      <c r="F6018" t="inlineStr">
        <is>
          <t>Bergvik skog väst AB</t>
        </is>
      </c>
      <c r="G6018" t="n">
        <v>2.6</v>
      </c>
      <c r="H6018" t="n">
        <v>0</v>
      </c>
      <c r="I6018" t="n">
        <v>0</v>
      </c>
      <c r="J6018" t="n">
        <v>0</v>
      </c>
      <c r="K6018" t="n">
        <v>0</v>
      </c>
      <c r="L6018" t="n">
        <v>0</v>
      </c>
      <c r="M6018" t="n">
        <v>0</v>
      </c>
      <c r="N6018" t="n">
        <v>0</v>
      </c>
      <c r="O6018" t="n">
        <v>0</v>
      </c>
      <c r="P6018" t="n">
        <v>0</v>
      </c>
      <c r="Q6018" t="n">
        <v>0</v>
      </c>
      <c r="R6018" s="2" t="inlineStr"/>
    </row>
    <row r="6019" ht="15" customHeight="1">
      <c r="A6019" t="inlineStr">
        <is>
          <t>A 38058-2023</t>
        </is>
      </c>
      <c r="B6019" s="1" t="n">
        <v>45160</v>
      </c>
      <c r="C6019" s="1" t="n">
        <v>45210</v>
      </c>
      <c r="D6019" t="inlineStr">
        <is>
          <t>DALARNAS LÄN</t>
        </is>
      </c>
      <c r="E6019" t="inlineStr">
        <is>
          <t>LEKSAND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37851-2023</t>
        </is>
      </c>
      <c r="B6020" s="1" t="n">
        <v>45160</v>
      </c>
      <c r="C6020" s="1" t="n">
        <v>45210</v>
      </c>
      <c r="D6020" t="inlineStr">
        <is>
          <t>DALARNAS LÄN</t>
        </is>
      </c>
      <c r="E6020" t="inlineStr">
        <is>
          <t>RÄTTVIK</t>
        </is>
      </c>
      <c r="F6020" t="inlineStr">
        <is>
          <t>Bergvik skog väst AB</t>
        </is>
      </c>
      <c r="G6020" t="n">
        <v>5.2</v>
      </c>
      <c r="H6020" t="n">
        <v>0</v>
      </c>
      <c r="I6020" t="n">
        <v>0</v>
      </c>
      <c r="J6020" t="n">
        <v>0</v>
      </c>
      <c r="K6020" t="n">
        <v>0</v>
      </c>
      <c r="L6020" t="n">
        <v>0</v>
      </c>
      <c r="M6020" t="n">
        <v>0</v>
      </c>
      <c r="N6020" t="n">
        <v>0</v>
      </c>
      <c r="O6020" t="n">
        <v>0</v>
      </c>
      <c r="P6020" t="n">
        <v>0</v>
      </c>
      <c r="Q6020" t="n">
        <v>0</v>
      </c>
      <c r="R6020" s="2" t="inlineStr"/>
    </row>
    <row r="6021" ht="15" customHeight="1">
      <c r="A6021" t="inlineStr">
        <is>
          <t>A 37872-2023</t>
        </is>
      </c>
      <c r="B6021" s="1" t="n">
        <v>45160</v>
      </c>
      <c r="C6021" s="1" t="n">
        <v>45210</v>
      </c>
      <c r="D6021" t="inlineStr">
        <is>
          <t>DALARNAS LÄN</t>
        </is>
      </c>
      <c r="E6021" t="inlineStr">
        <is>
          <t>MALUNG-SÄLEN</t>
        </is>
      </c>
      <c r="G6021" t="n">
        <v>2.5</v>
      </c>
      <c r="H6021" t="n">
        <v>0</v>
      </c>
      <c r="I6021" t="n">
        <v>0</v>
      </c>
      <c r="J6021" t="n">
        <v>0</v>
      </c>
      <c r="K6021" t="n">
        <v>0</v>
      </c>
      <c r="L6021" t="n">
        <v>0</v>
      </c>
      <c r="M6021" t="n">
        <v>0</v>
      </c>
      <c r="N6021" t="n">
        <v>0</v>
      </c>
      <c r="O6021" t="n">
        <v>0</v>
      </c>
      <c r="P6021" t="n">
        <v>0</v>
      </c>
      <c r="Q6021" t="n">
        <v>0</v>
      </c>
      <c r="R6021" s="2" t="inlineStr"/>
    </row>
    <row r="6022" ht="15" customHeight="1">
      <c r="A6022" t="inlineStr">
        <is>
          <t>A 38001-2023</t>
        </is>
      </c>
      <c r="B6022" s="1" t="n">
        <v>45160</v>
      </c>
      <c r="C6022" s="1" t="n">
        <v>45210</v>
      </c>
      <c r="D6022" t="inlineStr">
        <is>
          <t>DALARNAS LÄN</t>
        </is>
      </c>
      <c r="E6022" t="inlineStr">
        <is>
          <t>LEKSAND</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37882-2023</t>
        </is>
      </c>
      <c r="B6023" s="1" t="n">
        <v>45160</v>
      </c>
      <c r="C6023" s="1" t="n">
        <v>45210</v>
      </c>
      <c r="D6023" t="inlineStr">
        <is>
          <t>DALARNAS LÄN</t>
        </is>
      </c>
      <c r="E6023" t="inlineStr">
        <is>
          <t>FALUN</t>
        </is>
      </c>
      <c r="G6023" t="n">
        <v>5.2</v>
      </c>
      <c r="H6023" t="n">
        <v>0</v>
      </c>
      <c r="I6023" t="n">
        <v>0</v>
      </c>
      <c r="J6023" t="n">
        <v>0</v>
      </c>
      <c r="K6023" t="n">
        <v>0</v>
      </c>
      <c r="L6023" t="n">
        <v>0</v>
      </c>
      <c r="M6023" t="n">
        <v>0</v>
      </c>
      <c r="N6023" t="n">
        <v>0</v>
      </c>
      <c r="O6023" t="n">
        <v>0</v>
      </c>
      <c r="P6023" t="n">
        <v>0</v>
      </c>
      <c r="Q6023" t="n">
        <v>0</v>
      </c>
      <c r="R6023" s="2" t="inlineStr"/>
    </row>
    <row r="6024" ht="15" customHeight="1">
      <c r="A6024" t="inlineStr">
        <is>
          <t>A 38145-2023</t>
        </is>
      </c>
      <c r="B6024" s="1" t="n">
        <v>45160</v>
      </c>
      <c r="C6024" s="1" t="n">
        <v>45210</v>
      </c>
      <c r="D6024" t="inlineStr">
        <is>
          <t>DALARNAS LÄN</t>
        </is>
      </c>
      <c r="E6024" t="inlineStr">
        <is>
          <t>LEKSAND</t>
        </is>
      </c>
      <c r="F6024" t="inlineStr">
        <is>
          <t>Kommuner</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37932-2023</t>
        </is>
      </c>
      <c r="B6025" s="1" t="n">
        <v>45160</v>
      </c>
      <c r="C6025" s="1" t="n">
        <v>45210</v>
      </c>
      <c r="D6025" t="inlineStr">
        <is>
          <t>DALARNAS LÄN</t>
        </is>
      </c>
      <c r="E6025" t="inlineStr">
        <is>
          <t>MORA</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38267-2023</t>
        </is>
      </c>
      <c r="B6026" s="1" t="n">
        <v>45161</v>
      </c>
      <c r="C6026" s="1" t="n">
        <v>45210</v>
      </c>
      <c r="D6026" t="inlineStr">
        <is>
          <t>DALARNAS LÄN</t>
        </is>
      </c>
      <c r="E6026" t="inlineStr">
        <is>
          <t>GAGNEF</t>
        </is>
      </c>
      <c r="G6026" t="n">
        <v>5.9</v>
      </c>
      <c r="H6026" t="n">
        <v>0</v>
      </c>
      <c r="I6026" t="n">
        <v>0</v>
      </c>
      <c r="J6026" t="n">
        <v>0</v>
      </c>
      <c r="K6026" t="n">
        <v>0</v>
      </c>
      <c r="L6026" t="n">
        <v>0</v>
      </c>
      <c r="M6026" t="n">
        <v>0</v>
      </c>
      <c r="N6026" t="n">
        <v>0</v>
      </c>
      <c r="O6026" t="n">
        <v>0</v>
      </c>
      <c r="P6026" t="n">
        <v>0</v>
      </c>
      <c r="Q6026" t="n">
        <v>0</v>
      </c>
      <c r="R6026" s="2" t="inlineStr"/>
    </row>
    <row r="6027" ht="15" customHeight="1">
      <c r="A6027" t="inlineStr">
        <is>
          <t>A 38737-2023</t>
        </is>
      </c>
      <c r="B6027" s="1" t="n">
        <v>45161</v>
      </c>
      <c r="C6027" s="1" t="n">
        <v>45210</v>
      </c>
      <c r="D6027" t="inlineStr">
        <is>
          <t>DALARNAS LÄN</t>
        </is>
      </c>
      <c r="E6027" t="inlineStr">
        <is>
          <t>RÄTTVIK</t>
        </is>
      </c>
      <c r="F6027" t="inlineStr">
        <is>
          <t>Kommuner</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39009-2023</t>
        </is>
      </c>
      <c r="B6028" s="1" t="n">
        <v>45162</v>
      </c>
      <c r="C6028" s="1" t="n">
        <v>45210</v>
      </c>
      <c r="D6028" t="inlineStr">
        <is>
          <t>DALARNAS LÄN</t>
        </is>
      </c>
      <c r="E6028" t="inlineStr">
        <is>
          <t>MORA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38925-2023</t>
        </is>
      </c>
      <c r="B6029" s="1" t="n">
        <v>45163</v>
      </c>
      <c r="C6029" s="1" t="n">
        <v>45210</v>
      </c>
      <c r="D6029" t="inlineStr">
        <is>
          <t>DALARNAS LÄN</t>
        </is>
      </c>
      <c r="E6029" t="inlineStr">
        <is>
          <t>LUDVIKA</t>
        </is>
      </c>
      <c r="G6029" t="n">
        <v>3</v>
      </c>
      <c r="H6029" t="n">
        <v>0</v>
      </c>
      <c r="I6029" t="n">
        <v>0</v>
      </c>
      <c r="J6029" t="n">
        <v>0</v>
      </c>
      <c r="K6029" t="n">
        <v>0</v>
      </c>
      <c r="L6029" t="n">
        <v>0</v>
      </c>
      <c r="M6029" t="n">
        <v>0</v>
      </c>
      <c r="N6029" t="n">
        <v>0</v>
      </c>
      <c r="O6029" t="n">
        <v>0</v>
      </c>
      <c r="P6029" t="n">
        <v>0</v>
      </c>
      <c r="Q6029" t="n">
        <v>0</v>
      </c>
      <c r="R6029" s="2" t="inlineStr"/>
    </row>
    <row r="6030" ht="15" customHeight="1">
      <c r="A6030" t="inlineStr">
        <is>
          <t>A 39367-2023</t>
        </is>
      </c>
      <c r="B6030" s="1" t="n">
        <v>45166</v>
      </c>
      <c r="C6030" s="1" t="n">
        <v>45210</v>
      </c>
      <c r="D6030" t="inlineStr">
        <is>
          <t>DALARNAS LÄN</t>
        </is>
      </c>
      <c r="E6030" t="inlineStr">
        <is>
          <t>GAGNEF</t>
        </is>
      </c>
      <c r="F6030" t="inlineStr">
        <is>
          <t>Bergvik skog väst AB</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39577-2023</t>
        </is>
      </c>
      <c r="B6031" s="1" t="n">
        <v>45167</v>
      </c>
      <c r="C6031" s="1" t="n">
        <v>45210</v>
      </c>
      <c r="D6031" t="inlineStr">
        <is>
          <t>DALARNAS LÄN</t>
        </is>
      </c>
      <c r="E6031" t="inlineStr">
        <is>
          <t>LEKSAND</t>
        </is>
      </c>
      <c r="F6031" t="inlineStr">
        <is>
          <t>Bergvik skog väst AB</t>
        </is>
      </c>
      <c r="G6031" t="n">
        <v>2.1</v>
      </c>
      <c r="H6031" t="n">
        <v>0</v>
      </c>
      <c r="I6031" t="n">
        <v>0</v>
      </c>
      <c r="J6031" t="n">
        <v>0</v>
      </c>
      <c r="K6031" t="n">
        <v>0</v>
      </c>
      <c r="L6031" t="n">
        <v>0</v>
      </c>
      <c r="M6031" t="n">
        <v>0</v>
      </c>
      <c r="N6031" t="n">
        <v>0</v>
      </c>
      <c r="O6031" t="n">
        <v>0</v>
      </c>
      <c r="P6031" t="n">
        <v>0</v>
      </c>
      <c r="Q6031" t="n">
        <v>0</v>
      </c>
      <c r="R6031" s="2" t="inlineStr"/>
    </row>
    <row r="6032" ht="15" customHeight="1">
      <c r="A6032" t="inlineStr">
        <is>
          <t>A 39644-2023</t>
        </is>
      </c>
      <c r="B6032" s="1" t="n">
        <v>45167</v>
      </c>
      <c r="C6032" s="1" t="n">
        <v>45210</v>
      </c>
      <c r="D6032" t="inlineStr">
        <is>
          <t>DALARNAS LÄN</t>
        </is>
      </c>
      <c r="E6032" t="inlineStr">
        <is>
          <t>SÄTER</t>
        </is>
      </c>
      <c r="G6032" t="n">
        <v>6.5</v>
      </c>
      <c r="H6032" t="n">
        <v>0</v>
      </c>
      <c r="I6032" t="n">
        <v>0</v>
      </c>
      <c r="J6032" t="n">
        <v>0</v>
      </c>
      <c r="K6032" t="n">
        <v>0</v>
      </c>
      <c r="L6032" t="n">
        <v>0</v>
      </c>
      <c r="M6032" t="n">
        <v>0</v>
      </c>
      <c r="N6032" t="n">
        <v>0</v>
      </c>
      <c r="O6032" t="n">
        <v>0</v>
      </c>
      <c r="P6032" t="n">
        <v>0</v>
      </c>
      <c r="Q6032" t="n">
        <v>0</v>
      </c>
      <c r="R6032" s="2" t="inlineStr"/>
    </row>
    <row r="6033" ht="15" customHeight="1">
      <c r="A6033" t="inlineStr">
        <is>
          <t>A 40021-2023</t>
        </is>
      </c>
      <c r="B6033" s="1" t="n">
        <v>45167</v>
      </c>
      <c r="C6033" s="1" t="n">
        <v>45210</v>
      </c>
      <c r="D6033" t="inlineStr">
        <is>
          <t>DALARNAS LÄN</t>
        </is>
      </c>
      <c r="E6033" t="inlineStr">
        <is>
          <t>RÄTTVIK</t>
        </is>
      </c>
      <c r="G6033" t="n">
        <v>1.1</v>
      </c>
      <c r="H6033" t="n">
        <v>0</v>
      </c>
      <c r="I6033" t="n">
        <v>0</v>
      </c>
      <c r="J6033" t="n">
        <v>0</v>
      </c>
      <c r="K6033" t="n">
        <v>0</v>
      </c>
      <c r="L6033" t="n">
        <v>0</v>
      </c>
      <c r="M6033" t="n">
        <v>0</v>
      </c>
      <c r="N6033" t="n">
        <v>0</v>
      </c>
      <c r="O6033" t="n">
        <v>0</v>
      </c>
      <c r="P6033" t="n">
        <v>0</v>
      </c>
      <c r="Q6033" t="n">
        <v>0</v>
      </c>
      <c r="R6033" s="2" t="inlineStr"/>
    </row>
    <row r="6034" ht="15" customHeight="1">
      <c r="A6034" t="inlineStr">
        <is>
          <t>A 39595-2023</t>
        </is>
      </c>
      <c r="B6034" s="1" t="n">
        <v>45167</v>
      </c>
      <c r="C6034" s="1" t="n">
        <v>45210</v>
      </c>
      <c r="D6034" t="inlineStr">
        <is>
          <t>DALARNAS LÄN</t>
        </is>
      </c>
      <c r="E6034" t="inlineStr">
        <is>
          <t>LEKSAND</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39645-2023</t>
        </is>
      </c>
      <c r="B6035" s="1" t="n">
        <v>45167</v>
      </c>
      <c r="C6035" s="1" t="n">
        <v>45210</v>
      </c>
      <c r="D6035" t="inlineStr">
        <is>
          <t>DALARNAS LÄN</t>
        </is>
      </c>
      <c r="E6035" t="inlineStr">
        <is>
          <t>FALUN</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40313-2023</t>
        </is>
      </c>
      <c r="B6036" s="1" t="n">
        <v>45168</v>
      </c>
      <c r="C6036" s="1" t="n">
        <v>45210</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40344-2023</t>
        </is>
      </c>
      <c r="B6037" s="1" t="n">
        <v>45168</v>
      </c>
      <c r="C6037" s="1" t="n">
        <v>45210</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40337-2023</t>
        </is>
      </c>
      <c r="B6038" s="1" t="n">
        <v>45168</v>
      </c>
      <c r="C6038" s="1" t="n">
        <v>45210</v>
      </c>
      <c r="D6038" t="inlineStr">
        <is>
          <t>DALARNAS LÄN</t>
        </is>
      </c>
      <c r="E6038" t="inlineStr">
        <is>
          <t>RÄTTVIK</t>
        </is>
      </c>
      <c r="G6038" t="n">
        <v>0.6</v>
      </c>
      <c r="H6038" t="n">
        <v>0</v>
      </c>
      <c r="I6038" t="n">
        <v>0</v>
      </c>
      <c r="J6038" t="n">
        <v>0</v>
      </c>
      <c r="K6038" t="n">
        <v>0</v>
      </c>
      <c r="L6038" t="n">
        <v>0</v>
      </c>
      <c r="M6038" t="n">
        <v>0</v>
      </c>
      <c r="N6038" t="n">
        <v>0</v>
      </c>
      <c r="O6038" t="n">
        <v>0</v>
      </c>
      <c r="P6038" t="n">
        <v>0</v>
      </c>
      <c r="Q6038" t="n">
        <v>0</v>
      </c>
      <c r="R6038" s="2" t="inlineStr"/>
    </row>
    <row r="6039" ht="15" customHeight="1">
      <c r="A6039" t="inlineStr">
        <is>
          <t>A 40642-2023</t>
        </is>
      </c>
      <c r="B6039" s="1" t="n">
        <v>45169</v>
      </c>
      <c r="C6039" s="1" t="n">
        <v>45210</v>
      </c>
      <c r="D6039" t="inlineStr">
        <is>
          <t>DALARNAS LÄN</t>
        </is>
      </c>
      <c r="E6039" t="inlineStr">
        <is>
          <t>LEKSAND</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40954-2023</t>
        </is>
      </c>
      <c r="B6040" s="1" t="n">
        <v>45173</v>
      </c>
      <c r="C6040" s="1" t="n">
        <v>45210</v>
      </c>
      <c r="D6040" t="inlineStr">
        <is>
          <t>DALARNAS LÄN</t>
        </is>
      </c>
      <c r="E6040" t="inlineStr">
        <is>
          <t>BORLÄNGE</t>
        </is>
      </c>
      <c r="G6040" t="n">
        <v>0.7</v>
      </c>
      <c r="H6040" t="n">
        <v>0</v>
      </c>
      <c r="I6040" t="n">
        <v>0</v>
      </c>
      <c r="J6040" t="n">
        <v>0</v>
      </c>
      <c r="K6040" t="n">
        <v>0</v>
      </c>
      <c r="L6040" t="n">
        <v>0</v>
      </c>
      <c r="M6040" t="n">
        <v>0</v>
      </c>
      <c r="N6040" t="n">
        <v>0</v>
      </c>
      <c r="O6040" t="n">
        <v>0</v>
      </c>
      <c r="P6040" t="n">
        <v>0</v>
      </c>
      <c r="Q6040" t="n">
        <v>0</v>
      </c>
      <c r="R6040" s="2" t="inlineStr"/>
    </row>
    <row r="6041" ht="15" customHeight="1">
      <c r="A6041" t="inlineStr">
        <is>
          <t>A 41434-2023</t>
        </is>
      </c>
      <c r="B6041" s="1" t="n">
        <v>45175</v>
      </c>
      <c r="C6041" s="1" t="n">
        <v>45210</v>
      </c>
      <c r="D6041" t="inlineStr">
        <is>
          <t>DALARNAS LÄN</t>
        </is>
      </c>
      <c r="E6041" t="inlineStr">
        <is>
          <t>VANSBRO</t>
        </is>
      </c>
      <c r="G6041" t="n">
        <v>2.5</v>
      </c>
      <c r="H6041" t="n">
        <v>0</v>
      </c>
      <c r="I6041" t="n">
        <v>0</v>
      </c>
      <c r="J6041" t="n">
        <v>0</v>
      </c>
      <c r="K6041" t="n">
        <v>0</v>
      </c>
      <c r="L6041" t="n">
        <v>0</v>
      </c>
      <c r="M6041" t="n">
        <v>0</v>
      </c>
      <c r="N6041" t="n">
        <v>0</v>
      </c>
      <c r="O6041" t="n">
        <v>0</v>
      </c>
      <c r="P6041" t="n">
        <v>0</v>
      </c>
      <c r="Q6041" t="n">
        <v>0</v>
      </c>
      <c r="R6041" s="2" t="inlineStr"/>
    </row>
    <row r="6042" ht="15" customHeight="1">
      <c r="A6042" t="inlineStr">
        <is>
          <t>A 42025-2023</t>
        </is>
      </c>
      <c r="B6042" s="1" t="n">
        <v>45177</v>
      </c>
      <c r="C6042" s="1" t="n">
        <v>45210</v>
      </c>
      <c r="D6042" t="inlineStr">
        <is>
          <t>DALARNAS LÄN</t>
        </is>
      </c>
      <c r="E6042" t="inlineStr">
        <is>
          <t>SÄTER</t>
        </is>
      </c>
      <c r="G6042" t="n">
        <v>7.1</v>
      </c>
      <c r="H6042" t="n">
        <v>0</v>
      </c>
      <c r="I6042" t="n">
        <v>0</v>
      </c>
      <c r="J6042" t="n">
        <v>0</v>
      </c>
      <c r="K6042" t="n">
        <v>0</v>
      </c>
      <c r="L6042" t="n">
        <v>0</v>
      </c>
      <c r="M6042" t="n">
        <v>0</v>
      </c>
      <c r="N6042" t="n">
        <v>0</v>
      </c>
      <c r="O6042" t="n">
        <v>0</v>
      </c>
      <c r="P6042" t="n">
        <v>0</v>
      </c>
      <c r="Q6042" t="n">
        <v>0</v>
      </c>
      <c r="R6042" s="2" t="inlineStr"/>
    </row>
    <row r="6043" ht="15" customHeight="1">
      <c r="A6043" t="inlineStr">
        <is>
          <t>A 42308-2023</t>
        </is>
      </c>
      <c r="B6043" s="1" t="n">
        <v>45180</v>
      </c>
      <c r="C6043" s="1" t="n">
        <v>45210</v>
      </c>
      <c r="D6043" t="inlineStr">
        <is>
          <t>DALARNAS LÄN</t>
        </is>
      </c>
      <c r="E6043" t="inlineStr">
        <is>
          <t>VANSBRO</t>
        </is>
      </c>
      <c r="F6043" t="inlineStr">
        <is>
          <t>Bergvik skog öst AB</t>
        </is>
      </c>
      <c r="G6043" t="n">
        <v>1.9</v>
      </c>
      <c r="H6043" t="n">
        <v>0</v>
      </c>
      <c r="I6043" t="n">
        <v>0</v>
      </c>
      <c r="J6043" t="n">
        <v>0</v>
      </c>
      <c r="K6043" t="n">
        <v>0</v>
      </c>
      <c r="L6043" t="n">
        <v>0</v>
      </c>
      <c r="M6043" t="n">
        <v>0</v>
      </c>
      <c r="N6043" t="n">
        <v>0</v>
      </c>
      <c r="O6043" t="n">
        <v>0</v>
      </c>
      <c r="P6043" t="n">
        <v>0</v>
      </c>
      <c r="Q6043" t="n">
        <v>0</v>
      </c>
      <c r="R6043" s="2" t="inlineStr"/>
    </row>
    <row r="6044" ht="15" customHeight="1">
      <c r="A6044" t="inlineStr">
        <is>
          <t>A 42391-2023</t>
        </is>
      </c>
      <c r="B6044" s="1" t="n">
        <v>45180</v>
      </c>
      <c r="C6044" s="1" t="n">
        <v>45210</v>
      </c>
      <c r="D6044" t="inlineStr">
        <is>
          <t>DALARNAS LÄN</t>
        </is>
      </c>
      <c r="E6044" t="inlineStr">
        <is>
          <t>MORA</t>
        </is>
      </c>
      <c r="F6044" t="inlineStr">
        <is>
          <t>Kommuner</t>
        </is>
      </c>
      <c r="G6044" t="n">
        <v>0.3</v>
      </c>
      <c r="H6044" t="n">
        <v>0</v>
      </c>
      <c r="I6044" t="n">
        <v>0</v>
      </c>
      <c r="J6044" t="n">
        <v>0</v>
      </c>
      <c r="K6044" t="n">
        <v>0</v>
      </c>
      <c r="L6044" t="n">
        <v>0</v>
      </c>
      <c r="M6044" t="n">
        <v>0</v>
      </c>
      <c r="N6044" t="n">
        <v>0</v>
      </c>
      <c r="O6044" t="n">
        <v>0</v>
      </c>
      <c r="P6044" t="n">
        <v>0</v>
      </c>
      <c r="Q6044" t="n">
        <v>0</v>
      </c>
      <c r="R6044" s="2" t="inlineStr"/>
    </row>
    <row r="6045" ht="15" customHeight="1">
      <c r="A6045" t="inlineStr">
        <is>
          <t>A 42527-2023</t>
        </is>
      </c>
      <c r="B6045" s="1" t="n">
        <v>45181</v>
      </c>
      <c r="C6045" s="1" t="n">
        <v>45210</v>
      </c>
      <c r="D6045" t="inlineStr">
        <is>
          <t>DALARNAS LÄN</t>
        </is>
      </c>
      <c r="E6045" t="inlineStr">
        <is>
          <t>VANSBRO</t>
        </is>
      </c>
      <c r="G6045" t="n">
        <v>14.3</v>
      </c>
      <c r="H6045" t="n">
        <v>0</v>
      </c>
      <c r="I6045" t="n">
        <v>0</v>
      </c>
      <c r="J6045" t="n">
        <v>0</v>
      </c>
      <c r="K6045" t="n">
        <v>0</v>
      </c>
      <c r="L6045" t="n">
        <v>0</v>
      </c>
      <c r="M6045" t="n">
        <v>0</v>
      </c>
      <c r="N6045" t="n">
        <v>0</v>
      </c>
      <c r="O6045" t="n">
        <v>0</v>
      </c>
      <c r="P6045" t="n">
        <v>0</v>
      </c>
      <c r="Q6045" t="n">
        <v>0</v>
      </c>
      <c r="R6045" s="2" t="inlineStr"/>
    </row>
    <row r="6046" ht="15" customHeight="1">
      <c r="A6046" t="inlineStr">
        <is>
          <t>A 42986-2023</t>
        </is>
      </c>
      <c r="B6046" s="1" t="n">
        <v>45182</v>
      </c>
      <c r="C6046" s="1" t="n">
        <v>45210</v>
      </c>
      <c r="D6046" t="inlineStr">
        <is>
          <t>DALARNAS LÄN</t>
        </is>
      </c>
      <c r="E6046" t="inlineStr">
        <is>
          <t>BORLÄNGE</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43086-2023</t>
        </is>
      </c>
      <c r="B6047" s="1" t="n">
        <v>45182</v>
      </c>
      <c r="C6047" s="1" t="n">
        <v>45210</v>
      </c>
      <c r="D6047" t="inlineStr">
        <is>
          <t>DALARNAS LÄN</t>
        </is>
      </c>
      <c r="E6047" t="inlineStr">
        <is>
          <t>AVESTA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43473-2023</t>
        </is>
      </c>
      <c r="B6048" s="1" t="n">
        <v>45184</v>
      </c>
      <c r="C6048" s="1" t="n">
        <v>45210</v>
      </c>
      <c r="D6048" t="inlineStr">
        <is>
          <t>DALARNAS LÄN</t>
        </is>
      </c>
      <c r="E6048" t="inlineStr">
        <is>
          <t>ÄLVDALEN</t>
        </is>
      </c>
      <c r="G6048" t="n">
        <v>33.5</v>
      </c>
      <c r="H6048" t="n">
        <v>0</v>
      </c>
      <c r="I6048" t="n">
        <v>0</v>
      </c>
      <c r="J6048" t="n">
        <v>0</v>
      </c>
      <c r="K6048" t="n">
        <v>0</v>
      </c>
      <c r="L6048" t="n">
        <v>0</v>
      </c>
      <c r="M6048" t="n">
        <v>0</v>
      </c>
      <c r="N6048" t="n">
        <v>0</v>
      </c>
      <c r="O6048" t="n">
        <v>0</v>
      </c>
      <c r="P6048" t="n">
        <v>0</v>
      </c>
      <c r="Q6048" t="n">
        <v>0</v>
      </c>
      <c r="R6048" s="2" t="inlineStr"/>
    </row>
    <row r="6049" ht="15" customHeight="1">
      <c r="A6049" t="inlineStr">
        <is>
          <t>A 43498-2023</t>
        </is>
      </c>
      <c r="B6049" s="1" t="n">
        <v>45184</v>
      </c>
      <c r="C6049" s="1" t="n">
        <v>45210</v>
      </c>
      <c r="D6049" t="inlineStr">
        <is>
          <t>DALARNAS LÄN</t>
        </is>
      </c>
      <c r="E6049" t="inlineStr">
        <is>
          <t>MORA</t>
        </is>
      </c>
      <c r="F6049" t="inlineStr">
        <is>
          <t>Bergvik skog väst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44240-2023</t>
        </is>
      </c>
      <c r="B6050" s="1" t="n">
        <v>45188</v>
      </c>
      <c r="C6050" s="1" t="n">
        <v>45210</v>
      </c>
      <c r="D6050" t="inlineStr">
        <is>
          <t>DALARNAS LÄN</t>
        </is>
      </c>
      <c r="E6050" t="inlineStr">
        <is>
          <t>BORLÄNGE</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44205-2023</t>
        </is>
      </c>
      <c r="B6051" s="1" t="n">
        <v>45188</v>
      </c>
      <c r="C6051" s="1" t="n">
        <v>45210</v>
      </c>
      <c r="D6051" t="inlineStr">
        <is>
          <t>DALARNAS LÄN</t>
        </is>
      </c>
      <c r="E6051" t="inlineStr">
        <is>
          <t>MORA</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44034-2023</t>
        </is>
      </c>
      <c r="B6052" s="1" t="n">
        <v>45188</v>
      </c>
      <c r="C6052" s="1" t="n">
        <v>45210</v>
      </c>
      <c r="D6052" t="inlineStr">
        <is>
          <t>DALARNAS LÄN</t>
        </is>
      </c>
      <c r="E6052" t="inlineStr">
        <is>
          <t>SMEDJEBACKEN</t>
        </is>
      </c>
      <c r="F6052" t="inlineStr">
        <is>
          <t>Sveaskog</t>
        </is>
      </c>
      <c r="G6052" t="n">
        <v>0.4</v>
      </c>
      <c r="H6052" t="n">
        <v>0</v>
      </c>
      <c r="I6052" t="n">
        <v>0</v>
      </c>
      <c r="J6052" t="n">
        <v>0</v>
      </c>
      <c r="K6052" t="n">
        <v>0</v>
      </c>
      <c r="L6052" t="n">
        <v>0</v>
      </c>
      <c r="M6052" t="n">
        <v>0</v>
      </c>
      <c r="N6052" t="n">
        <v>0</v>
      </c>
      <c r="O6052" t="n">
        <v>0</v>
      </c>
      <c r="P6052" t="n">
        <v>0</v>
      </c>
      <c r="Q6052" t="n">
        <v>0</v>
      </c>
      <c r="R6052" s="2" t="inlineStr"/>
    </row>
    <row r="6053" ht="15" customHeight="1">
      <c r="A6053" t="inlineStr">
        <is>
          <t>A 44201-2023</t>
        </is>
      </c>
      <c r="B6053" s="1" t="n">
        <v>45188</v>
      </c>
      <c r="C6053" s="1" t="n">
        <v>45210</v>
      </c>
      <c r="D6053" t="inlineStr">
        <is>
          <t>DALARNAS LÄN</t>
        </is>
      </c>
      <c r="E6053" t="inlineStr">
        <is>
          <t>MORA</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44106-2023</t>
        </is>
      </c>
      <c r="B6054" s="1" t="n">
        <v>45188</v>
      </c>
      <c r="C6054" s="1" t="n">
        <v>45210</v>
      </c>
      <c r="D6054" t="inlineStr">
        <is>
          <t>DALARNAS LÄN</t>
        </is>
      </c>
      <c r="E6054" t="inlineStr">
        <is>
          <t>MORA</t>
        </is>
      </c>
      <c r="G6054" t="n">
        <v>10.1</v>
      </c>
      <c r="H6054" t="n">
        <v>0</v>
      </c>
      <c r="I6054" t="n">
        <v>0</v>
      </c>
      <c r="J6054" t="n">
        <v>0</v>
      </c>
      <c r="K6054" t="n">
        <v>0</v>
      </c>
      <c r="L6054" t="n">
        <v>0</v>
      </c>
      <c r="M6054" t="n">
        <v>0</v>
      </c>
      <c r="N6054" t="n">
        <v>0</v>
      </c>
      <c r="O6054" t="n">
        <v>0</v>
      </c>
      <c r="P6054" t="n">
        <v>0</v>
      </c>
      <c r="Q6054" t="n">
        <v>0</v>
      </c>
      <c r="R6054" s="2" t="inlineStr"/>
    </row>
    <row r="6055" ht="15" customHeight="1">
      <c r="A6055" t="inlineStr">
        <is>
          <t>A 44520-2023</t>
        </is>
      </c>
      <c r="B6055" s="1" t="n">
        <v>45189</v>
      </c>
      <c r="C6055" s="1" t="n">
        <v>45210</v>
      </c>
      <c r="D6055" t="inlineStr">
        <is>
          <t>DALARNAS LÄN</t>
        </is>
      </c>
      <c r="E6055" t="inlineStr">
        <is>
          <t>LUDVIKA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44600-2023</t>
        </is>
      </c>
      <c r="B6056" s="1" t="n">
        <v>45189</v>
      </c>
      <c r="C6056" s="1" t="n">
        <v>45210</v>
      </c>
      <c r="D6056" t="inlineStr">
        <is>
          <t>DALARNAS LÄN</t>
        </is>
      </c>
      <c r="E6056" t="inlineStr">
        <is>
          <t>ORSA</t>
        </is>
      </c>
      <c r="G6056" t="n">
        <v>3.9</v>
      </c>
      <c r="H6056" t="n">
        <v>0</v>
      </c>
      <c r="I6056" t="n">
        <v>0</v>
      </c>
      <c r="J6056" t="n">
        <v>0</v>
      </c>
      <c r="K6056" t="n">
        <v>0</v>
      </c>
      <c r="L6056" t="n">
        <v>0</v>
      </c>
      <c r="M6056" t="n">
        <v>0</v>
      </c>
      <c r="N6056" t="n">
        <v>0</v>
      </c>
      <c r="O6056" t="n">
        <v>0</v>
      </c>
      <c r="P6056" t="n">
        <v>0</v>
      </c>
      <c r="Q6056" t="n">
        <v>0</v>
      </c>
      <c r="R6056" s="2" t="inlineStr"/>
    </row>
    <row r="6057" ht="15" customHeight="1">
      <c r="A6057" t="inlineStr">
        <is>
          <t>A 44733-2023</t>
        </is>
      </c>
      <c r="B6057" s="1" t="n">
        <v>45190</v>
      </c>
      <c r="C6057" s="1" t="n">
        <v>45210</v>
      </c>
      <c r="D6057" t="inlineStr">
        <is>
          <t>DALARNAS LÄN</t>
        </is>
      </c>
      <c r="E6057" t="inlineStr">
        <is>
          <t>RÄTTVIK</t>
        </is>
      </c>
      <c r="G6057" t="n">
        <v>5.7</v>
      </c>
      <c r="H6057" t="n">
        <v>0</v>
      </c>
      <c r="I6057" t="n">
        <v>0</v>
      </c>
      <c r="J6057" t="n">
        <v>0</v>
      </c>
      <c r="K6057" t="n">
        <v>0</v>
      </c>
      <c r="L6057" t="n">
        <v>0</v>
      </c>
      <c r="M6057" t="n">
        <v>0</v>
      </c>
      <c r="N6057" t="n">
        <v>0</v>
      </c>
      <c r="O6057" t="n">
        <v>0</v>
      </c>
      <c r="P6057" t="n">
        <v>0</v>
      </c>
      <c r="Q6057" t="n">
        <v>0</v>
      </c>
      <c r="R6057" s="2" t="inlineStr"/>
    </row>
    <row r="6058" ht="15" customHeight="1">
      <c r="A6058" t="inlineStr">
        <is>
          <t>A 44712-2023</t>
        </is>
      </c>
      <c r="B6058" s="1" t="n">
        <v>45190</v>
      </c>
      <c r="C6058" s="1" t="n">
        <v>45210</v>
      </c>
      <c r="D6058" t="inlineStr">
        <is>
          <t>DALARNAS LÄN</t>
        </is>
      </c>
      <c r="E6058" t="inlineStr">
        <is>
          <t>LEKSAND</t>
        </is>
      </c>
      <c r="F6058" t="inlineStr">
        <is>
          <t>Bergvik skog väst AB</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44803-2023</t>
        </is>
      </c>
      <c r="B6059" s="1" t="n">
        <v>45190</v>
      </c>
      <c r="C6059" s="1" t="n">
        <v>45210</v>
      </c>
      <c r="D6059" t="inlineStr">
        <is>
          <t>DALARNAS LÄN</t>
        </is>
      </c>
      <c r="E6059" t="inlineStr">
        <is>
          <t>SÄTER</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44709-2023</t>
        </is>
      </c>
      <c r="B6060" s="1" t="n">
        <v>45190</v>
      </c>
      <c r="C6060" s="1" t="n">
        <v>45210</v>
      </c>
      <c r="D6060" t="inlineStr">
        <is>
          <t>DALARNAS LÄN</t>
        </is>
      </c>
      <c r="E6060" t="inlineStr">
        <is>
          <t>MALUNG-SÄLEN</t>
        </is>
      </c>
      <c r="G6060" t="n">
        <v>3.9</v>
      </c>
      <c r="H6060" t="n">
        <v>0</v>
      </c>
      <c r="I6060" t="n">
        <v>0</v>
      </c>
      <c r="J6060" t="n">
        <v>0</v>
      </c>
      <c r="K6060" t="n">
        <v>0</v>
      </c>
      <c r="L6060" t="n">
        <v>0</v>
      </c>
      <c r="M6060" t="n">
        <v>0</v>
      </c>
      <c r="N6060" t="n">
        <v>0</v>
      </c>
      <c r="O6060" t="n">
        <v>0</v>
      </c>
      <c r="P6060" t="n">
        <v>0</v>
      </c>
      <c r="Q6060" t="n">
        <v>0</v>
      </c>
      <c r="R6060" s="2" t="inlineStr"/>
    </row>
    <row r="6061" ht="15" customHeight="1">
      <c r="A6061" t="inlineStr">
        <is>
          <t>A 44890-2023</t>
        </is>
      </c>
      <c r="B6061" s="1" t="n">
        <v>45190</v>
      </c>
      <c r="C6061" s="1" t="n">
        <v>45210</v>
      </c>
      <c r="D6061" t="inlineStr">
        <is>
          <t>DALARNAS LÄN</t>
        </is>
      </c>
      <c r="E6061" t="inlineStr">
        <is>
          <t>MORA</t>
        </is>
      </c>
      <c r="G6061" t="n">
        <v>3.4</v>
      </c>
      <c r="H6061" t="n">
        <v>0</v>
      </c>
      <c r="I6061" t="n">
        <v>0</v>
      </c>
      <c r="J6061" t="n">
        <v>0</v>
      </c>
      <c r="K6061" t="n">
        <v>0</v>
      </c>
      <c r="L6061" t="n">
        <v>0</v>
      </c>
      <c r="M6061" t="n">
        <v>0</v>
      </c>
      <c r="N6061" t="n">
        <v>0</v>
      </c>
      <c r="O6061" t="n">
        <v>0</v>
      </c>
      <c r="P6061" t="n">
        <v>0</v>
      </c>
      <c r="Q6061" t="n">
        <v>0</v>
      </c>
      <c r="R6061" s="2" t="inlineStr"/>
    </row>
    <row r="6062" ht="15" customHeight="1">
      <c r="A6062" t="inlineStr">
        <is>
          <t>A 45197-2023</t>
        </is>
      </c>
      <c r="B6062" s="1" t="n">
        <v>45191</v>
      </c>
      <c r="C6062" s="1" t="n">
        <v>45210</v>
      </c>
      <c r="D6062" t="inlineStr">
        <is>
          <t>DALARNAS LÄN</t>
        </is>
      </c>
      <c r="E6062" t="inlineStr">
        <is>
          <t>MALUNG-SÄLEN</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45421-2023</t>
        </is>
      </c>
      <c r="B6063" s="1" t="n">
        <v>45194</v>
      </c>
      <c r="C6063" s="1" t="n">
        <v>45210</v>
      </c>
      <c r="D6063" t="inlineStr">
        <is>
          <t>DALARNAS LÄN</t>
        </is>
      </c>
      <c r="E6063" t="inlineStr">
        <is>
          <t>GAGNEF</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45833-2023</t>
        </is>
      </c>
      <c r="B6064" s="1" t="n">
        <v>45195</v>
      </c>
      <c r="C6064" s="1" t="n">
        <v>45210</v>
      </c>
      <c r="D6064" t="inlineStr">
        <is>
          <t>DALARNAS LÄN</t>
        </is>
      </c>
      <c r="E6064" t="inlineStr">
        <is>
          <t>VANSBRO</t>
        </is>
      </c>
      <c r="G6064" t="n">
        <v>7.2</v>
      </c>
      <c r="H6064" t="n">
        <v>0</v>
      </c>
      <c r="I6064" t="n">
        <v>0</v>
      </c>
      <c r="J6064" t="n">
        <v>0</v>
      </c>
      <c r="K6064" t="n">
        <v>0</v>
      </c>
      <c r="L6064" t="n">
        <v>0</v>
      </c>
      <c r="M6064" t="n">
        <v>0</v>
      </c>
      <c r="N6064" t="n">
        <v>0</v>
      </c>
      <c r="O6064" t="n">
        <v>0</v>
      </c>
      <c r="P6064" t="n">
        <v>0</v>
      </c>
      <c r="Q6064" t="n">
        <v>0</v>
      </c>
      <c r="R6064" s="2" t="inlineStr"/>
    </row>
    <row r="6065" ht="15" customHeight="1">
      <c r="A6065" t="inlineStr">
        <is>
          <t>A 47036-2023</t>
        </is>
      </c>
      <c r="B6065" s="1" t="n">
        <v>45196</v>
      </c>
      <c r="C6065" s="1" t="n">
        <v>45210</v>
      </c>
      <c r="D6065" t="inlineStr">
        <is>
          <t>DALARNAS LÄN</t>
        </is>
      </c>
      <c r="E6065" t="inlineStr">
        <is>
          <t>MORA</t>
        </is>
      </c>
      <c r="G6065" t="n">
        <v>2.7</v>
      </c>
      <c r="H6065" t="n">
        <v>0</v>
      </c>
      <c r="I6065" t="n">
        <v>0</v>
      </c>
      <c r="J6065" t="n">
        <v>0</v>
      </c>
      <c r="K6065" t="n">
        <v>0</v>
      </c>
      <c r="L6065" t="n">
        <v>0</v>
      </c>
      <c r="M6065" t="n">
        <v>0</v>
      </c>
      <c r="N6065" t="n">
        <v>0</v>
      </c>
      <c r="O6065" t="n">
        <v>0</v>
      </c>
      <c r="P6065" t="n">
        <v>0</v>
      </c>
      <c r="Q6065" t="n">
        <v>0</v>
      </c>
      <c r="R6065" s="2" t="inlineStr"/>
    </row>
    <row r="6066" ht="15" customHeight="1">
      <c r="A6066" t="inlineStr">
        <is>
          <t>A 46200-2023</t>
        </is>
      </c>
      <c r="B6066" s="1" t="n">
        <v>45196</v>
      </c>
      <c r="C6066" s="1" t="n">
        <v>45210</v>
      </c>
      <c r="D6066" t="inlineStr">
        <is>
          <t>DALARNAS LÄN</t>
        </is>
      </c>
      <c r="E6066" t="inlineStr">
        <is>
          <t>FALUN</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46726-2023</t>
        </is>
      </c>
      <c r="B6067" s="1" t="n">
        <v>45198</v>
      </c>
      <c r="C6067" s="1" t="n">
        <v>45210</v>
      </c>
      <c r="D6067" t="inlineStr">
        <is>
          <t>DALARNAS LÄN</t>
        </is>
      </c>
      <c r="E6067" t="inlineStr">
        <is>
          <t>ORSA</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46624-2023</t>
        </is>
      </c>
      <c r="B6068" s="1" t="n">
        <v>45198</v>
      </c>
      <c r="C6068" s="1" t="n">
        <v>45210</v>
      </c>
      <c r="D6068" t="inlineStr">
        <is>
          <t>DALARNAS LÄN</t>
        </is>
      </c>
      <c r="E6068" t="inlineStr">
        <is>
          <t>MALUNG-SÄLEN</t>
        </is>
      </c>
      <c r="F6068" t="inlineStr">
        <is>
          <t>Allmännings- och besparingsskogar</t>
        </is>
      </c>
      <c r="G6068" t="n">
        <v>11</v>
      </c>
      <c r="H6068" t="n">
        <v>0</v>
      </c>
      <c r="I6068" t="n">
        <v>0</v>
      </c>
      <c r="J6068" t="n">
        <v>0</v>
      </c>
      <c r="K6068" t="n">
        <v>0</v>
      </c>
      <c r="L6068" t="n">
        <v>0</v>
      </c>
      <c r="M6068" t="n">
        <v>0</v>
      </c>
      <c r="N6068" t="n">
        <v>0</v>
      </c>
      <c r="O6068" t="n">
        <v>0</v>
      </c>
      <c r="P6068" t="n">
        <v>0</v>
      </c>
      <c r="Q6068" t="n">
        <v>0</v>
      </c>
      <c r="R6068" s="2" t="inlineStr"/>
    </row>
    <row r="6069" ht="15" customHeight="1">
      <c r="A6069" t="inlineStr">
        <is>
          <t>A 46702-2023</t>
        </is>
      </c>
      <c r="B6069" s="1" t="n">
        <v>45198</v>
      </c>
      <c r="C6069" s="1" t="n">
        <v>45210</v>
      </c>
      <c r="D6069" t="inlineStr">
        <is>
          <t>DALARNAS LÄN</t>
        </is>
      </c>
      <c r="E6069" t="inlineStr">
        <is>
          <t>MALUNG-SÄLEN</t>
        </is>
      </c>
      <c r="F6069" t="inlineStr">
        <is>
          <t>Allmännings- och besparingsskogar</t>
        </is>
      </c>
      <c r="G6069" t="n">
        <v>7.3</v>
      </c>
      <c r="H6069" t="n">
        <v>0</v>
      </c>
      <c r="I6069" t="n">
        <v>0</v>
      </c>
      <c r="J6069" t="n">
        <v>0</v>
      </c>
      <c r="K6069" t="n">
        <v>0</v>
      </c>
      <c r="L6069" t="n">
        <v>0</v>
      </c>
      <c r="M6069" t="n">
        <v>0</v>
      </c>
      <c r="N6069" t="n">
        <v>0</v>
      </c>
      <c r="O6069" t="n">
        <v>0</v>
      </c>
      <c r="P6069" t="n">
        <v>0</v>
      </c>
      <c r="Q6069" t="n">
        <v>0</v>
      </c>
      <c r="R6069" s="2" t="inlineStr"/>
    </row>
    <row r="6070" ht="15" customHeight="1">
      <c r="A6070" t="inlineStr">
        <is>
          <t>A 46631-2023</t>
        </is>
      </c>
      <c r="B6070" s="1" t="n">
        <v>45198</v>
      </c>
      <c r="C6070" s="1" t="n">
        <v>45210</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46612-2023</t>
        </is>
      </c>
      <c r="B6071" s="1" t="n">
        <v>45198</v>
      </c>
      <c r="C6071" s="1" t="n">
        <v>45210</v>
      </c>
      <c r="D6071" t="inlineStr">
        <is>
          <t>DALARNAS LÄN</t>
        </is>
      </c>
      <c r="E6071" t="inlineStr">
        <is>
          <t>MORA</t>
        </is>
      </c>
      <c r="G6071" t="n">
        <v>3.2</v>
      </c>
      <c r="H6071" t="n">
        <v>0</v>
      </c>
      <c r="I6071" t="n">
        <v>0</v>
      </c>
      <c r="J6071" t="n">
        <v>0</v>
      </c>
      <c r="K6071" t="n">
        <v>0</v>
      </c>
      <c r="L6071" t="n">
        <v>0</v>
      </c>
      <c r="M6071" t="n">
        <v>0</v>
      </c>
      <c r="N6071" t="n">
        <v>0</v>
      </c>
      <c r="O6071" t="n">
        <v>0</v>
      </c>
      <c r="P6071" t="n">
        <v>0</v>
      </c>
      <c r="Q6071" t="n">
        <v>0</v>
      </c>
      <c r="R6071" s="2" t="inlineStr"/>
    </row>
    <row r="6072" ht="15" customHeight="1">
      <c r="A6072" t="inlineStr">
        <is>
          <t>A 46948-2023</t>
        </is>
      </c>
      <c r="B6072" s="1" t="n">
        <v>45201</v>
      </c>
      <c r="C6072" s="1" t="n">
        <v>45210</v>
      </c>
      <c r="D6072" t="inlineStr">
        <is>
          <t>DALARNAS LÄN</t>
        </is>
      </c>
      <c r="E6072" t="inlineStr">
        <is>
          <t>RÄTTVIK</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47352-2023</t>
        </is>
      </c>
      <c r="B6073" s="1" t="n">
        <v>45202</v>
      </c>
      <c r="C6073" s="1" t="n">
        <v>45210</v>
      </c>
      <c r="D6073" t="inlineStr">
        <is>
          <t>DALARNAS LÄN</t>
        </is>
      </c>
      <c r="E6073" t="inlineStr">
        <is>
          <t>FALUN</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47347-2023</t>
        </is>
      </c>
      <c r="B6074" s="1" t="n">
        <v>45202</v>
      </c>
      <c r="C6074" s="1" t="n">
        <v>45210</v>
      </c>
      <c r="D6074" t="inlineStr">
        <is>
          <t>DALARNAS LÄN</t>
        </is>
      </c>
      <c r="E6074" t="inlineStr">
        <is>
          <t>MORA</t>
        </is>
      </c>
      <c r="F6074" t="inlineStr">
        <is>
          <t>Bergvik skog öst AB</t>
        </is>
      </c>
      <c r="G6074" t="n">
        <v>5.1</v>
      </c>
      <c r="H6074" t="n">
        <v>0</v>
      </c>
      <c r="I6074" t="n">
        <v>0</v>
      </c>
      <c r="J6074" t="n">
        <v>0</v>
      </c>
      <c r="K6074" t="n">
        <v>0</v>
      </c>
      <c r="L6074" t="n">
        <v>0</v>
      </c>
      <c r="M6074" t="n">
        <v>0</v>
      </c>
      <c r="N6074" t="n">
        <v>0</v>
      </c>
      <c r="O6074" t="n">
        <v>0</v>
      </c>
      <c r="P6074" t="n">
        <v>0</v>
      </c>
      <c r="Q6074" t="n">
        <v>0</v>
      </c>
      <c r="R6074" s="2" t="inlineStr"/>
    </row>
    <row r="6075" ht="15" customHeight="1">
      <c r="A6075" t="inlineStr">
        <is>
          <t>A 47402-2023</t>
        </is>
      </c>
      <c r="B6075" s="1" t="n">
        <v>45202</v>
      </c>
      <c r="C6075" s="1" t="n">
        <v>45210</v>
      </c>
      <c r="D6075" t="inlineStr">
        <is>
          <t>DALARNAS LÄN</t>
        </is>
      </c>
      <c r="E6075" t="inlineStr">
        <is>
          <t>AVESTA</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47440-2023</t>
        </is>
      </c>
      <c r="B6076" s="1" t="n">
        <v>45202</v>
      </c>
      <c r="C6076" s="1" t="n">
        <v>45210</v>
      </c>
      <c r="D6076" t="inlineStr">
        <is>
          <t>DALARNAS LÄN</t>
        </is>
      </c>
      <c r="E6076" t="inlineStr">
        <is>
          <t>MORA</t>
        </is>
      </c>
      <c r="F6076" t="inlineStr">
        <is>
          <t>Bergvik skog väst AB</t>
        </is>
      </c>
      <c r="G6076" t="n">
        <v>3</v>
      </c>
      <c r="H6076" t="n">
        <v>0</v>
      </c>
      <c r="I6076" t="n">
        <v>0</v>
      </c>
      <c r="J6076" t="n">
        <v>0</v>
      </c>
      <c r="K6076" t="n">
        <v>0</v>
      </c>
      <c r="L6076" t="n">
        <v>0</v>
      </c>
      <c r="M6076" t="n">
        <v>0</v>
      </c>
      <c r="N6076" t="n">
        <v>0</v>
      </c>
      <c r="O6076" t="n">
        <v>0</v>
      </c>
      <c r="P6076" t="n">
        <v>0</v>
      </c>
      <c r="Q6076" t="n">
        <v>0</v>
      </c>
      <c r="R6076" s="2" t="inlineStr"/>
    </row>
    <row r="6077" ht="15" customHeight="1">
      <c r="A6077" t="inlineStr">
        <is>
          <t>A 47673-2023</t>
        </is>
      </c>
      <c r="B6077" s="1" t="n">
        <v>45203</v>
      </c>
      <c r="C6077" s="1" t="n">
        <v>45210</v>
      </c>
      <c r="D6077" t="inlineStr">
        <is>
          <t>DALARNAS LÄN</t>
        </is>
      </c>
      <c r="E6077" t="inlineStr">
        <is>
          <t>LEKSAND</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47655-2023</t>
        </is>
      </c>
      <c r="B6078" s="1" t="n">
        <v>45203</v>
      </c>
      <c r="C6078" s="1" t="n">
        <v>45210</v>
      </c>
      <c r="D6078" t="inlineStr">
        <is>
          <t>DALARNAS LÄN</t>
        </is>
      </c>
      <c r="E6078" t="inlineStr">
        <is>
          <t>LEKSAND</t>
        </is>
      </c>
      <c r="G6078" t="n">
        <v>2.3</v>
      </c>
      <c r="H6078" t="n">
        <v>0</v>
      </c>
      <c r="I6078" t="n">
        <v>0</v>
      </c>
      <c r="J6078" t="n">
        <v>0</v>
      </c>
      <c r="K6078" t="n">
        <v>0</v>
      </c>
      <c r="L6078" t="n">
        <v>0</v>
      </c>
      <c r="M6078" t="n">
        <v>0</v>
      </c>
      <c r="N6078" t="n">
        <v>0</v>
      </c>
      <c r="O6078" t="n">
        <v>0</v>
      </c>
      <c r="P6078" t="n">
        <v>0</v>
      </c>
      <c r="Q6078" t="n">
        <v>0</v>
      </c>
      <c r="R6078" s="2" t="inlineStr"/>
    </row>
    <row r="6079" ht="15" customHeight="1">
      <c r="A6079" t="inlineStr">
        <is>
          <t>A 48029-2023</t>
        </is>
      </c>
      <c r="B6079" s="1" t="n">
        <v>45204</v>
      </c>
      <c r="C6079" s="1" t="n">
        <v>45210</v>
      </c>
      <c r="D6079" t="inlineStr">
        <is>
          <t>DALARNAS LÄN</t>
        </is>
      </c>
      <c r="E6079" t="inlineStr">
        <is>
          <t>LEKSAND</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47940-2023</t>
        </is>
      </c>
      <c r="B6080" s="1" t="n">
        <v>45204</v>
      </c>
      <c r="C6080" s="1" t="n">
        <v>45210</v>
      </c>
      <c r="D6080" t="inlineStr">
        <is>
          <t>DALARNAS LÄN</t>
        </is>
      </c>
      <c r="E6080" t="inlineStr">
        <is>
          <t>LUDVIKA</t>
        </is>
      </c>
      <c r="F6080" t="inlineStr">
        <is>
          <t>Bergvik skog väst AB</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47905-2023</t>
        </is>
      </c>
      <c r="B6081" s="1" t="n">
        <v>45204</v>
      </c>
      <c r="C6081" s="1" t="n">
        <v>45210</v>
      </c>
      <c r="D6081" t="inlineStr">
        <is>
          <t>DALARNAS LÄN</t>
        </is>
      </c>
      <c r="E6081" t="inlineStr">
        <is>
          <t>ORSA</t>
        </is>
      </c>
      <c r="F6081" t="inlineStr">
        <is>
          <t>Allmännings- och besparingsskogar</t>
        </is>
      </c>
      <c r="G6081" t="n">
        <v>9.300000000000001</v>
      </c>
      <c r="H6081" t="n">
        <v>0</v>
      </c>
      <c r="I6081" t="n">
        <v>0</v>
      </c>
      <c r="J6081" t="n">
        <v>0</v>
      </c>
      <c r="K6081" t="n">
        <v>0</v>
      </c>
      <c r="L6081" t="n">
        <v>0</v>
      </c>
      <c r="M6081" t="n">
        <v>0</v>
      </c>
      <c r="N6081" t="n">
        <v>0</v>
      </c>
      <c r="O6081" t="n">
        <v>0</v>
      </c>
      <c r="P6081" t="n">
        <v>0</v>
      </c>
      <c r="Q6081" t="n">
        <v>0</v>
      </c>
      <c r="R6081" s="2" t="inlineStr"/>
    </row>
    <row r="6082">
      <c r="A6082" t="inlineStr">
        <is>
          <t>A 48211-2023</t>
        </is>
      </c>
      <c r="B6082" s="1" t="n">
        <v>45205</v>
      </c>
      <c r="C6082" s="1" t="n">
        <v>45210</v>
      </c>
      <c r="D6082" t="inlineStr">
        <is>
          <t>DALARNAS LÄN</t>
        </is>
      </c>
      <c r="E6082" t="inlineStr">
        <is>
          <t>FALUN</t>
        </is>
      </c>
      <c r="G6082" t="n">
        <v>2.1</v>
      </c>
      <c r="H6082" t="n">
        <v>0</v>
      </c>
      <c r="I6082" t="n">
        <v>0</v>
      </c>
      <c r="J6082" t="n">
        <v>0</v>
      </c>
      <c r="K6082" t="n">
        <v>0</v>
      </c>
      <c r="L6082" t="n">
        <v>0</v>
      </c>
      <c r="M6082" t="n">
        <v>0</v>
      </c>
      <c r="N6082" t="n">
        <v>0</v>
      </c>
      <c r="O6082" t="n">
        <v>0</v>
      </c>
      <c r="P6082" t="n">
        <v>0</v>
      </c>
      <c r="Q6082" t="n">
        <v>0</v>
      </c>
      <c r="R60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2023-10-11T12:57:41Z</dcterms:created>
  <dcterms:modified xmlns:dcterms="http://purl.org/dc/terms/" xmlns:xsi="http://www.w3.org/2001/XMLSchema-instance" xsi:type="dcterms:W3CDTF">2023-10-11T12:57:43Z</dcterms:modified>
</cp:coreProperties>
</file>