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45217</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45217</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45217</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45217</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45217</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45217</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45217</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45217</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45217</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45217</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45217</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45217</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45217</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45217</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45217</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45217</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45217</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45217</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45217</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45217</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45217</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45217</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45217</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45217</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45217</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45217</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45217</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45217</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45217</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45217</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45217</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45217</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45217</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45217</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31670-2023</t>
        </is>
      </c>
      <c r="B36" s="1" t="n">
        <v>45117</v>
      </c>
      <c r="C36" s="1" t="n">
        <v>45217</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 artfynd.xlsx", "A 31670-2023")</f>
        <v/>
      </c>
      <c r="T36">
        <f>HYPERLINK("https://klasma.github.io/Logging_2034/kartor/A 31670-2023 karta.png", "A 31670-2023")</f>
        <v/>
      </c>
      <c r="V36">
        <f>HYPERLINK("https://klasma.github.io/Logging_2034/klagomål/A 31670-2023 FSC-klagomål.docx", "A 31670-2023")</f>
        <v/>
      </c>
      <c r="W36">
        <f>HYPERLINK("https://klasma.github.io/Logging_2034/klagomålsmail/A 31670-2023 FSC-klagomål mail.docx", "A 31670-2023")</f>
        <v/>
      </c>
      <c r="X36">
        <f>HYPERLINK("https://klasma.github.io/Logging_2034/tillsyn/A 31670-2023 tillsynsbegäran.docx", "A 31670-2023")</f>
        <v/>
      </c>
      <c r="Y36">
        <f>HYPERLINK("https://klasma.github.io/Logging_2034/tillsynsmail/A 31670-2023 tillsynsbegäran mail.docx", "A 31670-2023")</f>
        <v/>
      </c>
    </row>
    <row r="37" ht="15" customHeight="1">
      <c r="A37" t="inlineStr">
        <is>
          <t>A 6138-2019</t>
        </is>
      </c>
      <c r="B37" s="1" t="n">
        <v>43486</v>
      </c>
      <c r="C37" s="1" t="n">
        <v>45217</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 artfynd.xlsx", "A 6138-2019")</f>
        <v/>
      </c>
      <c r="T37">
        <f>HYPERLINK("https://klasma.github.io/Logging_2023/kartor/A 6138-2019 karta.png", "A 6138-2019")</f>
        <v/>
      </c>
      <c r="V37">
        <f>HYPERLINK("https://klasma.github.io/Logging_2023/klagomål/A 6138-2019 FSC-klagomål.docx", "A 6138-2019")</f>
        <v/>
      </c>
      <c r="W37">
        <f>HYPERLINK("https://klasma.github.io/Logging_2023/klagomålsmail/A 6138-2019 FSC-klagomål mail.docx", "A 6138-2019")</f>
        <v/>
      </c>
      <c r="X37">
        <f>HYPERLINK("https://klasma.github.io/Logging_2023/tillsyn/A 6138-2019 tillsynsbegäran.docx", "A 6138-2019")</f>
        <v/>
      </c>
      <c r="Y37">
        <f>HYPERLINK("https://klasma.github.io/Logging_2023/tillsynsmail/A 6138-2019 tillsynsbegäran mail.docx", "A 6138-2019")</f>
        <v/>
      </c>
    </row>
    <row r="38" ht="15" customHeight="1">
      <c r="A38" t="inlineStr">
        <is>
          <t>A 30281-2019</t>
        </is>
      </c>
      <c r="B38" s="1" t="n">
        <v>43633</v>
      </c>
      <c r="C38" s="1" t="n">
        <v>45217</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 artfynd.xlsx", "A 30281-2019")</f>
        <v/>
      </c>
      <c r="T38">
        <f>HYPERLINK("https://klasma.github.io/Logging_2023/kartor/A 30281-2019 karta.png", "A 30281-2019")</f>
        <v/>
      </c>
      <c r="V38">
        <f>HYPERLINK("https://klasma.github.io/Logging_2023/klagomål/A 30281-2019 FSC-klagomål.docx", "A 30281-2019")</f>
        <v/>
      </c>
      <c r="W38">
        <f>HYPERLINK("https://klasma.github.io/Logging_2023/klagomålsmail/A 30281-2019 FSC-klagomål mail.docx", "A 30281-2019")</f>
        <v/>
      </c>
      <c r="X38">
        <f>HYPERLINK("https://klasma.github.io/Logging_2023/tillsyn/A 30281-2019 tillsynsbegäran.docx", "A 30281-2019")</f>
        <v/>
      </c>
      <c r="Y38">
        <f>HYPERLINK("https://klasma.github.io/Logging_2023/tillsynsmail/A 30281-2019 tillsynsbegäran mail.docx", "A 30281-2019")</f>
        <v/>
      </c>
    </row>
    <row r="39" ht="15" customHeight="1">
      <c r="A39" t="inlineStr">
        <is>
          <t>A 35425-2019</t>
        </is>
      </c>
      <c r="B39" s="1" t="n">
        <v>43663</v>
      </c>
      <c r="C39" s="1" t="n">
        <v>45217</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 artfynd.xlsx", "A 35425-2019")</f>
        <v/>
      </c>
      <c r="T39">
        <f>HYPERLINK("https://klasma.github.io/Logging_2031/kartor/A 35425-2019 karta.png", "A 35425-2019")</f>
        <v/>
      </c>
      <c r="U39">
        <f>HYPERLINK("https://klasma.github.io/Logging_2031/knärot/A 35425-2019 karta knärot.png", "A 35425-2019")</f>
        <v/>
      </c>
      <c r="V39">
        <f>HYPERLINK("https://klasma.github.io/Logging_2031/klagomål/A 35425-2019 FSC-klagomål.docx", "A 35425-2019")</f>
        <v/>
      </c>
      <c r="W39">
        <f>HYPERLINK("https://klasma.github.io/Logging_2031/klagomålsmail/A 35425-2019 FSC-klagomål mail.docx", "A 35425-2019")</f>
        <v/>
      </c>
      <c r="X39">
        <f>HYPERLINK("https://klasma.github.io/Logging_2031/tillsyn/A 35425-2019 tillsynsbegäran.docx", "A 35425-2019")</f>
        <v/>
      </c>
      <c r="Y39">
        <f>HYPERLINK("https://klasma.github.io/Logging_2031/tillsynsmail/A 35425-2019 tillsynsbegäran mail.docx", "A 35425-2019")</f>
        <v/>
      </c>
    </row>
    <row r="40" ht="15" customHeight="1">
      <c r="A40" t="inlineStr">
        <is>
          <t>A 61375-2019</t>
        </is>
      </c>
      <c r="B40" s="1" t="n">
        <v>43783</v>
      </c>
      <c r="C40" s="1" t="n">
        <v>45217</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 artfynd.xlsx", "A 61375-2019")</f>
        <v/>
      </c>
      <c r="T40">
        <f>HYPERLINK("https://klasma.github.io/Logging_2029/kartor/A 61375-2019 karta.png", "A 61375-2019")</f>
        <v/>
      </c>
      <c r="U40">
        <f>HYPERLINK("https://klasma.github.io/Logging_2029/knärot/A 61375-2019 karta knärot.png", "A 61375-2019")</f>
        <v/>
      </c>
      <c r="V40">
        <f>HYPERLINK("https://klasma.github.io/Logging_2029/klagomål/A 61375-2019 FSC-klagomål.docx", "A 61375-2019")</f>
        <v/>
      </c>
      <c r="W40">
        <f>HYPERLINK("https://klasma.github.io/Logging_2029/klagomålsmail/A 61375-2019 FSC-klagomål mail.docx", "A 61375-2019")</f>
        <v/>
      </c>
      <c r="X40">
        <f>HYPERLINK("https://klasma.github.io/Logging_2029/tillsyn/A 61375-2019 tillsynsbegäran.docx", "A 61375-2019")</f>
        <v/>
      </c>
      <c r="Y40">
        <f>HYPERLINK("https://klasma.github.io/Logging_2029/tillsynsmail/A 61375-2019 tillsynsbegäran mail.docx", "A 61375-2019")</f>
        <v/>
      </c>
    </row>
    <row r="41" ht="15" customHeight="1">
      <c r="A41" t="inlineStr">
        <is>
          <t>A 61373-2019</t>
        </is>
      </c>
      <c r="B41" s="1" t="n">
        <v>43783</v>
      </c>
      <c r="C41" s="1" t="n">
        <v>45217</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 artfynd.xlsx", "A 61373-2019")</f>
        <v/>
      </c>
      <c r="T41">
        <f>HYPERLINK("https://klasma.github.io/Logging_2029/kartor/A 61373-2019 karta.png", "A 61373-2019")</f>
        <v/>
      </c>
      <c r="V41">
        <f>HYPERLINK("https://klasma.github.io/Logging_2029/klagomål/A 61373-2019 FSC-klagomål.docx", "A 61373-2019")</f>
        <v/>
      </c>
      <c r="W41">
        <f>HYPERLINK("https://klasma.github.io/Logging_2029/klagomålsmail/A 61373-2019 FSC-klagomål mail.docx", "A 61373-2019")</f>
        <v/>
      </c>
      <c r="X41">
        <f>HYPERLINK("https://klasma.github.io/Logging_2029/tillsyn/A 61373-2019 tillsynsbegäran.docx", "A 61373-2019")</f>
        <v/>
      </c>
      <c r="Y41">
        <f>HYPERLINK("https://klasma.github.io/Logging_2029/tillsynsmail/A 61373-2019 tillsynsbegäran mail.docx", "A 61373-2019")</f>
        <v/>
      </c>
    </row>
    <row r="42" ht="15" customHeight="1">
      <c r="A42" t="inlineStr">
        <is>
          <t>A 62314-2019</t>
        </is>
      </c>
      <c r="B42" s="1" t="n">
        <v>43788</v>
      </c>
      <c r="C42" s="1" t="n">
        <v>45217</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 artfynd.xlsx", "A 62314-2019")</f>
        <v/>
      </c>
      <c r="T42">
        <f>HYPERLINK("https://klasma.github.io/Logging_2023/kartor/A 62314-2019 karta.png", "A 62314-2019")</f>
        <v/>
      </c>
      <c r="V42">
        <f>HYPERLINK("https://klasma.github.io/Logging_2023/klagomål/A 62314-2019 FSC-klagomål.docx", "A 62314-2019")</f>
        <v/>
      </c>
      <c r="W42">
        <f>HYPERLINK("https://klasma.github.io/Logging_2023/klagomålsmail/A 62314-2019 FSC-klagomål mail.docx", "A 62314-2019")</f>
        <v/>
      </c>
      <c r="X42">
        <f>HYPERLINK("https://klasma.github.io/Logging_2023/tillsyn/A 62314-2019 tillsynsbegäran.docx", "A 62314-2019")</f>
        <v/>
      </c>
      <c r="Y42">
        <f>HYPERLINK("https://klasma.github.io/Logging_2023/tillsynsmail/A 62314-2019 tillsynsbegäran mail.docx", "A 62314-2019")</f>
        <v/>
      </c>
    </row>
    <row r="43" ht="15" customHeight="1">
      <c r="A43" t="inlineStr">
        <is>
          <t>A 64675-2021</t>
        </is>
      </c>
      <c r="B43" s="1" t="n">
        <v>44512</v>
      </c>
      <c r="C43" s="1" t="n">
        <v>45217</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 artfynd.xlsx", "A 64675-2021")</f>
        <v/>
      </c>
      <c r="T43">
        <f>HYPERLINK("https://klasma.github.io/Logging_2081/kartor/A 64675-2021 karta.png", "A 64675-2021")</f>
        <v/>
      </c>
      <c r="V43">
        <f>HYPERLINK("https://klasma.github.io/Logging_2081/klagomål/A 64675-2021 FSC-klagomål.docx", "A 64675-2021")</f>
        <v/>
      </c>
      <c r="W43">
        <f>HYPERLINK("https://klasma.github.io/Logging_2081/klagomålsmail/A 64675-2021 FSC-klagomål mail.docx", "A 64675-2021")</f>
        <v/>
      </c>
      <c r="X43">
        <f>HYPERLINK("https://klasma.github.io/Logging_2081/tillsyn/A 64675-2021 tillsynsbegäran.docx", "A 64675-2021")</f>
        <v/>
      </c>
      <c r="Y43">
        <f>HYPERLINK("https://klasma.github.io/Logging_2081/tillsynsmail/A 64675-2021 tillsynsbegäran mail.docx", "A 64675-2021")</f>
        <v/>
      </c>
    </row>
    <row r="44" ht="15" customHeight="1">
      <c r="A44" t="inlineStr">
        <is>
          <t>A 62103-2022</t>
        </is>
      </c>
      <c r="B44" s="1" t="n">
        <v>44920</v>
      </c>
      <c r="C44" s="1" t="n">
        <v>45217</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45217</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45217</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45217</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45217</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45217</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45217</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45217</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45217</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45217</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45217</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45217</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45217</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45217</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45217</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45217</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45217</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45217</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45217</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45217</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45217</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45217</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45217</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45217</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45217</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45217</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45217</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45217</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45217</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45217</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45217</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45217</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45217</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45217</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45217</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45217</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45217</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45217</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45217</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45217</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45217</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45217</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45217</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45217</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45217</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45217</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45217</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45217</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45217</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45217</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45217</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45217</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45217</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45217</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45217</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45217</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45217</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45217</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45217</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45217</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45217</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45217</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45217</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45217</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45217</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45217</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45217</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45217</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45217</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45217</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45217</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45217</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45217</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45217</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45217</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45217</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45217</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45217</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45217</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45217</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45217</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45217</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45217</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45217</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45217</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45217</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45217</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45217</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45217</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45217</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45217</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45217</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45217</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45217</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45217</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45217</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45217</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45217</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45217</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45217</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45217</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45217</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45217</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45217</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45217</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45217</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45217</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45217</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45217</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45217</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45217</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45217</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45217</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45217</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45217</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45217</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45217</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45217</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45217</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45217</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45217</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45217</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45217</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45217</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45217</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45217</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45217</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45217</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45217</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45217</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45217</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45217</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45217</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45217</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45217</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45217</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45217</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45217</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70912-2018</t>
        </is>
      </c>
      <c r="B182" s="1" t="n">
        <v>43452</v>
      </c>
      <c r="C182" s="1" t="n">
        <v>45217</v>
      </c>
      <c r="D182" t="inlineStr">
        <is>
          <t>DALARNAS LÄN</t>
        </is>
      </c>
      <c r="E182" t="inlineStr">
        <is>
          <t>LUDVIKA</t>
        </is>
      </c>
      <c r="F182" t="inlineStr">
        <is>
          <t>Bergvik skog väst AB</t>
        </is>
      </c>
      <c r="G182" t="n">
        <v>2.1</v>
      </c>
      <c r="H182" t="n">
        <v>0</v>
      </c>
      <c r="I182" t="n">
        <v>2</v>
      </c>
      <c r="J182" t="n">
        <v>1</v>
      </c>
      <c r="K182" t="n">
        <v>0</v>
      </c>
      <c r="L182" t="n">
        <v>0</v>
      </c>
      <c r="M182" t="n">
        <v>0</v>
      </c>
      <c r="N182" t="n">
        <v>0</v>
      </c>
      <c r="O182" t="n">
        <v>1</v>
      </c>
      <c r="P182" t="n">
        <v>0</v>
      </c>
      <c r="Q182" t="n">
        <v>3</v>
      </c>
      <c r="R182" s="2" t="inlineStr">
        <is>
          <t>Gultoppig fingersvamp
Korallblylav
Luddlav</t>
        </is>
      </c>
      <c r="S182">
        <f>HYPERLINK("https://klasma.github.io/Logging_2085/artfynd/A 70912-2018 artfynd.xlsx", "A 70912-2018")</f>
        <v/>
      </c>
      <c r="T182">
        <f>HYPERLINK("https://klasma.github.io/Logging_2085/kartor/A 70912-2018 karta.png", "A 70912-2018")</f>
        <v/>
      </c>
      <c r="V182">
        <f>HYPERLINK("https://klasma.github.io/Logging_2085/klagomål/A 70912-2018 FSC-klagomål.docx", "A 70912-2018")</f>
        <v/>
      </c>
      <c r="W182">
        <f>HYPERLINK("https://klasma.github.io/Logging_2085/klagomålsmail/A 70912-2018 FSC-klagomål mail.docx", "A 70912-2018")</f>
        <v/>
      </c>
      <c r="X182">
        <f>HYPERLINK("https://klasma.github.io/Logging_2085/tillsyn/A 70912-2018 tillsynsbegäran.docx", "A 70912-2018")</f>
        <v/>
      </c>
      <c r="Y182">
        <f>HYPERLINK("https://klasma.github.io/Logging_2085/tillsynsmail/A 70912-2018 tillsynsbegäran mail.docx", "A 70912-2018")</f>
        <v/>
      </c>
    </row>
    <row r="183" ht="15" customHeight="1">
      <c r="A183" t="inlineStr">
        <is>
          <t>A 9781-2019</t>
        </is>
      </c>
      <c r="B183" s="1" t="n">
        <v>43509</v>
      </c>
      <c r="C183" s="1" t="n">
        <v>45217</v>
      </c>
      <c r="D183" t="inlineStr">
        <is>
          <t>DALARNAS LÄN</t>
        </is>
      </c>
      <c r="E183" t="inlineStr">
        <is>
          <t>MALUNG-SÄLEN</t>
        </is>
      </c>
      <c r="G183" t="n">
        <v>6.4</v>
      </c>
      <c r="H183" t="n">
        <v>0</v>
      </c>
      <c r="I183" t="n">
        <v>1</v>
      </c>
      <c r="J183" t="n">
        <v>2</v>
      </c>
      <c r="K183" t="n">
        <v>0</v>
      </c>
      <c r="L183" t="n">
        <v>0</v>
      </c>
      <c r="M183" t="n">
        <v>0</v>
      </c>
      <c r="N183" t="n">
        <v>0</v>
      </c>
      <c r="O183" t="n">
        <v>2</v>
      </c>
      <c r="P183" t="n">
        <v>0</v>
      </c>
      <c r="Q183" t="n">
        <v>3</v>
      </c>
      <c r="R183" s="2" t="inlineStr">
        <is>
          <t>Garnlav
Lunglav
Dropptaggsvamp</t>
        </is>
      </c>
      <c r="S183">
        <f>HYPERLINK("https://klasma.github.io/Logging_2023/artfynd/A 9781-2019 artfynd.xlsx", "A 9781-2019")</f>
        <v/>
      </c>
      <c r="T183">
        <f>HYPERLINK("https://klasma.github.io/Logging_2023/kartor/A 9781-2019 karta.png", "A 9781-2019")</f>
        <v/>
      </c>
      <c r="V183">
        <f>HYPERLINK("https://klasma.github.io/Logging_2023/klagomål/A 9781-2019 FSC-klagomål.docx", "A 9781-2019")</f>
        <v/>
      </c>
      <c r="W183">
        <f>HYPERLINK("https://klasma.github.io/Logging_2023/klagomålsmail/A 9781-2019 FSC-klagomål mail.docx", "A 9781-2019")</f>
        <v/>
      </c>
      <c r="X183">
        <f>HYPERLINK("https://klasma.github.io/Logging_2023/tillsyn/A 9781-2019 tillsynsbegäran.docx", "A 9781-2019")</f>
        <v/>
      </c>
      <c r="Y183">
        <f>HYPERLINK("https://klasma.github.io/Logging_2023/tillsynsmail/A 9781-2019 tillsynsbegäran mail.docx", "A 9781-2019")</f>
        <v/>
      </c>
    </row>
    <row r="184" ht="15" customHeight="1">
      <c r="A184" t="inlineStr">
        <is>
          <t>A 10212-2019</t>
        </is>
      </c>
      <c r="B184" s="1" t="n">
        <v>43510</v>
      </c>
      <c r="C184" s="1" t="n">
        <v>45217</v>
      </c>
      <c r="D184" t="inlineStr">
        <is>
          <t>DALARNAS LÄN</t>
        </is>
      </c>
      <c r="E184" t="inlineStr">
        <is>
          <t>LUDVIKA</t>
        </is>
      </c>
      <c r="G184" t="n">
        <v>18.9</v>
      </c>
      <c r="H184" t="n">
        <v>1</v>
      </c>
      <c r="I184" t="n">
        <v>1</v>
      </c>
      <c r="J184" t="n">
        <v>1</v>
      </c>
      <c r="K184" t="n">
        <v>1</v>
      </c>
      <c r="L184" t="n">
        <v>0</v>
      </c>
      <c r="M184" t="n">
        <v>0</v>
      </c>
      <c r="N184" t="n">
        <v>0</v>
      </c>
      <c r="O184" t="n">
        <v>2</v>
      </c>
      <c r="P184" t="n">
        <v>1</v>
      </c>
      <c r="Q184" t="n">
        <v>3</v>
      </c>
      <c r="R184" s="2" t="inlineStr">
        <is>
          <t>Knärot
Dofttaggsvamp
Nästlav</t>
        </is>
      </c>
      <c r="S184">
        <f>HYPERLINK("https://klasma.github.io/Logging_2085/artfynd/A 10212-2019 artfynd.xlsx", "A 10212-2019")</f>
        <v/>
      </c>
      <c r="T184">
        <f>HYPERLINK("https://klasma.github.io/Logging_2085/kartor/A 10212-2019 karta.png", "A 10212-2019")</f>
        <v/>
      </c>
      <c r="U184">
        <f>HYPERLINK("https://klasma.github.io/Logging_2085/knärot/A 10212-2019 karta knärot.png", "A 10212-2019")</f>
        <v/>
      </c>
      <c r="V184">
        <f>HYPERLINK("https://klasma.github.io/Logging_2085/klagomål/A 10212-2019 FSC-klagomål.docx", "A 10212-2019")</f>
        <v/>
      </c>
      <c r="W184">
        <f>HYPERLINK("https://klasma.github.io/Logging_2085/klagomålsmail/A 10212-2019 FSC-klagomål mail.docx", "A 10212-2019")</f>
        <v/>
      </c>
      <c r="X184">
        <f>HYPERLINK("https://klasma.github.io/Logging_2085/tillsyn/A 10212-2019 tillsynsbegäran.docx", "A 10212-2019")</f>
        <v/>
      </c>
      <c r="Y184">
        <f>HYPERLINK("https://klasma.github.io/Logging_2085/tillsynsmail/A 10212-2019 tillsynsbegäran mail.docx", "A 10212-2019")</f>
        <v/>
      </c>
    </row>
    <row r="185" ht="15" customHeight="1">
      <c r="A185" t="inlineStr">
        <is>
          <t>A 16084-2019</t>
        </is>
      </c>
      <c r="B185" s="1" t="n">
        <v>43544</v>
      </c>
      <c r="C185" s="1" t="n">
        <v>45217</v>
      </c>
      <c r="D185" t="inlineStr">
        <is>
          <t>DALARNAS LÄN</t>
        </is>
      </c>
      <c r="E185" t="inlineStr">
        <is>
          <t>BORLÄNGE</t>
        </is>
      </c>
      <c r="G185" t="n">
        <v>12.7</v>
      </c>
      <c r="H185" t="n">
        <v>0</v>
      </c>
      <c r="I185" t="n">
        <v>0</v>
      </c>
      <c r="J185" t="n">
        <v>3</v>
      </c>
      <c r="K185" t="n">
        <v>0</v>
      </c>
      <c r="L185" t="n">
        <v>0</v>
      </c>
      <c r="M185" t="n">
        <v>0</v>
      </c>
      <c r="N185" t="n">
        <v>0</v>
      </c>
      <c r="O185" t="n">
        <v>3</v>
      </c>
      <c r="P185" t="n">
        <v>0</v>
      </c>
      <c r="Q185" t="n">
        <v>3</v>
      </c>
      <c r="R185" s="2" t="inlineStr">
        <is>
          <t>Garnlav
Grantaggsvamp
Granticka</t>
        </is>
      </c>
      <c r="S185">
        <f>HYPERLINK("https://klasma.github.io/Logging_2081/artfynd/A 16084-2019 artfynd.xlsx", "A 16084-2019")</f>
        <v/>
      </c>
      <c r="T185">
        <f>HYPERLINK("https://klasma.github.io/Logging_2081/kartor/A 16084-2019 karta.png", "A 16084-2019")</f>
        <v/>
      </c>
      <c r="V185">
        <f>HYPERLINK("https://klasma.github.io/Logging_2081/klagomål/A 16084-2019 FSC-klagomål.docx", "A 16084-2019")</f>
        <v/>
      </c>
      <c r="W185">
        <f>HYPERLINK("https://klasma.github.io/Logging_2081/klagomålsmail/A 16084-2019 FSC-klagomål mail.docx", "A 16084-2019")</f>
        <v/>
      </c>
      <c r="X185">
        <f>HYPERLINK("https://klasma.github.io/Logging_2081/tillsyn/A 16084-2019 tillsynsbegäran.docx", "A 16084-2019")</f>
        <v/>
      </c>
      <c r="Y185">
        <f>HYPERLINK("https://klasma.github.io/Logging_2081/tillsynsmail/A 16084-2019 tillsynsbegäran mail.docx", "A 16084-2019")</f>
        <v/>
      </c>
    </row>
    <row r="186" ht="15" customHeight="1">
      <c r="A186" t="inlineStr">
        <is>
          <t>A 23141-2019</t>
        </is>
      </c>
      <c r="B186" s="1" t="n">
        <v>43591</v>
      </c>
      <c r="C186" s="1" t="n">
        <v>45217</v>
      </c>
      <c r="D186" t="inlineStr">
        <is>
          <t>DALARNAS LÄN</t>
        </is>
      </c>
      <c r="E186" t="inlineStr">
        <is>
          <t>MALUNG-SÄLEN</t>
        </is>
      </c>
      <c r="G186" t="n">
        <v>2.1</v>
      </c>
      <c r="H186" t="n">
        <v>0</v>
      </c>
      <c r="I186" t="n">
        <v>1</v>
      </c>
      <c r="J186" t="n">
        <v>2</v>
      </c>
      <c r="K186" t="n">
        <v>0</v>
      </c>
      <c r="L186" t="n">
        <v>0</v>
      </c>
      <c r="M186" t="n">
        <v>0</v>
      </c>
      <c r="N186" t="n">
        <v>0</v>
      </c>
      <c r="O186" t="n">
        <v>2</v>
      </c>
      <c r="P186" t="n">
        <v>0</v>
      </c>
      <c r="Q186" t="n">
        <v>3</v>
      </c>
      <c r="R186" s="2" t="inlineStr">
        <is>
          <t>Garnlav
Violettgrå tagellav
Kattfotslav</t>
        </is>
      </c>
      <c r="S186">
        <f>HYPERLINK("https://klasma.github.io/Logging_2023/artfynd/A 23141-2019 artfynd.xlsx", "A 23141-2019")</f>
        <v/>
      </c>
      <c r="T186">
        <f>HYPERLINK("https://klasma.github.io/Logging_2023/kartor/A 23141-2019 karta.png", "A 23141-2019")</f>
        <v/>
      </c>
      <c r="V186">
        <f>HYPERLINK("https://klasma.github.io/Logging_2023/klagomål/A 23141-2019 FSC-klagomål.docx", "A 23141-2019")</f>
        <v/>
      </c>
      <c r="W186">
        <f>HYPERLINK("https://klasma.github.io/Logging_2023/klagomålsmail/A 23141-2019 FSC-klagomål mail.docx", "A 23141-2019")</f>
        <v/>
      </c>
      <c r="X186">
        <f>HYPERLINK("https://klasma.github.io/Logging_2023/tillsyn/A 23141-2019 tillsynsbegäran.docx", "A 23141-2019")</f>
        <v/>
      </c>
      <c r="Y186">
        <f>HYPERLINK("https://klasma.github.io/Logging_2023/tillsynsmail/A 23141-2019 tillsynsbegäran mail.docx", "A 23141-2019")</f>
        <v/>
      </c>
    </row>
    <row r="187" ht="15" customHeight="1">
      <c r="A187" t="inlineStr">
        <is>
          <t>A 26353-2019</t>
        </is>
      </c>
      <c r="B187" s="1" t="n">
        <v>43612</v>
      </c>
      <c r="C187" s="1" t="n">
        <v>45217</v>
      </c>
      <c r="D187" t="inlineStr">
        <is>
          <t>DALARNAS LÄN</t>
        </is>
      </c>
      <c r="E187" t="inlineStr">
        <is>
          <t>FALUN</t>
        </is>
      </c>
      <c r="G187" t="n">
        <v>5.9</v>
      </c>
      <c r="H187" t="n">
        <v>1</v>
      </c>
      <c r="I187" t="n">
        <v>0</v>
      </c>
      <c r="J187" t="n">
        <v>2</v>
      </c>
      <c r="K187" t="n">
        <v>1</v>
      </c>
      <c r="L187" t="n">
        <v>0</v>
      </c>
      <c r="M187" t="n">
        <v>0</v>
      </c>
      <c r="N187" t="n">
        <v>0</v>
      </c>
      <c r="O187" t="n">
        <v>3</v>
      </c>
      <c r="P187" t="n">
        <v>1</v>
      </c>
      <c r="Q187" t="n">
        <v>3</v>
      </c>
      <c r="R187" s="2" t="inlineStr">
        <is>
          <t>Knärot
Garnlav
Kortskaftad ärgspik</t>
        </is>
      </c>
      <c r="S187">
        <f>HYPERLINK("https://klasma.github.io/Logging_2080/artfynd/A 26353-2019 artfynd.xlsx", "A 26353-2019")</f>
        <v/>
      </c>
      <c r="T187">
        <f>HYPERLINK("https://klasma.github.io/Logging_2080/kartor/A 26353-2019 karta.png", "A 26353-2019")</f>
        <v/>
      </c>
      <c r="U187">
        <f>HYPERLINK("https://klasma.github.io/Logging_2080/knärot/A 26353-2019 karta knärot.png", "A 26353-2019")</f>
        <v/>
      </c>
      <c r="V187">
        <f>HYPERLINK("https://klasma.github.io/Logging_2080/klagomål/A 26353-2019 FSC-klagomål.docx", "A 26353-2019")</f>
        <v/>
      </c>
      <c r="W187">
        <f>HYPERLINK("https://klasma.github.io/Logging_2080/klagomålsmail/A 26353-2019 FSC-klagomål mail.docx", "A 26353-2019")</f>
        <v/>
      </c>
      <c r="X187">
        <f>HYPERLINK("https://klasma.github.io/Logging_2080/tillsyn/A 26353-2019 tillsynsbegäran.docx", "A 26353-2019")</f>
        <v/>
      </c>
      <c r="Y187">
        <f>HYPERLINK("https://klasma.github.io/Logging_2080/tillsynsmail/A 26353-2019 tillsynsbegäran mail.docx", "A 26353-2019")</f>
        <v/>
      </c>
    </row>
    <row r="188" ht="15" customHeight="1">
      <c r="A188" t="inlineStr">
        <is>
          <t>A 29322-2019</t>
        </is>
      </c>
      <c r="B188" s="1" t="n">
        <v>43634</v>
      </c>
      <c r="C188" s="1" t="n">
        <v>45217</v>
      </c>
      <c r="D188" t="inlineStr">
        <is>
          <t>DALARNAS LÄN</t>
        </is>
      </c>
      <c r="E188" t="inlineStr">
        <is>
          <t>RÄTTVIK</t>
        </is>
      </c>
      <c r="G188" t="n">
        <v>11.3</v>
      </c>
      <c r="H188" t="n">
        <v>0</v>
      </c>
      <c r="I188" t="n">
        <v>1</v>
      </c>
      <c r="J188" t="n">
        <v>2</v>
      </c>
      <c r="K188" t="n">
        <v>0</v>
      </c>
      <c r="L188" t="n">
        <v>0</v>
      </c>
      <c r="M188" t="n">
        <v>0</v>
      </c>
      <c r="N188" t="n">
        <v>0</v>
      </c>
      <c r="O188" t="n">
        <v>2</v>
      </c>
      <c r="P188" t="n">
        <v>0</v>
      </c>
      <c r="Q188" t="n">
        <v>3</v>
      </c>
      <c r="R188" s="2" t="inlineStr">
        <is>
          <t>Kolflarnlav
Vedskivlav
Bronshjon</t>
        </is>
      </c>
      <c r="S188">
        <f>HYPERLINK("https://klasma.github.io/Logging_2031/artfynd/A 29322-2019 artfynd.xlsx", "A 29322-2019")</f>
        <v/>
      </c>
      <c r="T188">
        <f>HYPERLINK("https://klasma.github.io/Logging_2031/kartor/A 29322-2019 karta.png", "A 29322-2019")</f>
        <v/>
      </c>
      <c r="V188">
        <f>HYPERLINK("https://klasma.github.io/Logging_2031/klagomål/A 29322-2019 FSC-klagomål.docx", "A 29322-2019")</f>
        <v/>
      </c>
      <c r="W188">
        <f>HYPERLINK("https://klasma.github.io/Logging_2031/klagomålsmail/A 29322-2019 FSC-klagomål mail.docx", "A 29322-2019")</f>
        <v/>
      </c>
      <c r="X188">
        <f>HYPERLINK("https://klasma.github.io/Logging_2031/tillsyn/A 29322-2019 tillsynsbegäran.docx", "A 29322-2019")</f>
        <v/>
      </c>
      <c r="Y188">
        <f>HYPERLINK("https://klasma.github.io/Logging_2031/tillsynsmail/A 29322-2019 tillsynsbegäran mail.docx", "A 29322-2019")</f>
        <v/>
      </c>
    </row>
    <row r="189" ht="15" customHeight="1">
      <c r="A189" t="inlineStr">
        <is>
          <t>A 35415-2019</t>
        </is>
      </c>
      <c r="B189" s="1" t="n">
        <v>43663</v>
      </c>
      <c r="C189" s="1" t="n">
        <v>45217</v>
      </c>
      <c r="D189" t="inlineStr">
        <is>
          <t>DALARNAS LÄN</t>
        </is>
      </c>
      <c r="E189" t="inlineStr">
        <is>
          <t>RÄTTVIK</t>
        </is>
      </c>
      <c r="F189" t="inlineStr">
        <is>
          <t>Sveaskog</t>
        </is>
      </c>
      <c r="G189" t="n">
        <v>1.4</v>
      </c>
      <c r="H189" t="n">
        <v>0</v>
      </c>
      <c r="I189" t="n">
        <v>1</v>
      </c>
      <c r="J189" t="n">
        <v>2</v>
      </c>
      <c r="K189" t="n">
        <v>0</v>
      </c>
      <c r="L189" t="n">
        <v>0</v>
      </c>
      <c r="M189" t="n">
        <v>0</v>
      </c>
      <c r="N189" t="n">
        <v>0</v>
      </c>
      <c r="O189" t="n">
        <v>2</v>
      </c>
      <c r="P189" t="n">
        <v>0</v>
      </c>
      <c r="Q189" t="n">
        <v>3</v>
      </c>
      <c r="R189" s="2" t="inlineStr">
        <is>
          <t>Motaggsvamp
Skrovlig taggsvamp
Skarp dropptaggsvamp</t>
        </is>
      </c>
      <c r="S189">
        <f>HYPERLINK("https://klasma.github.io/Logging_2031/artfynd/A 35415-2019 artfynd.xlsx", "A 35415-2019")</f>
        <v/>
      </c>
      <c r="T189">
        <f>HYPERLINK("https://klasma.github.io/Logging_2031/kartor/A 35415-2019 karta.png", "A 35415-2019")</f>
        <v/>
      </c>
      <c r="U189">
        <f>HYPERLINK("https://klasma.github.io/Logging_2031/knärot/A 35415-2019 karta knärot.png", "A 35415-2019")</f>
        <v/>
      </c>
      <c r="V189">
        <f>HYPERLINK("https://klasma.github.io/Logging_2031/klagomål/A 35415-2019 FSC-klagomål.docx", "A 35415-2019")</f>
        <v/>
      </c>
      <c r="W189">
        <f>HYPERLINK("https://klasma.github.io/Logging_2031/klagomålsmail/A 35415-2019 FSC-klagomål mail.docx", "A 35415-2019")</f>
        <v/>
      </c>
      <c r="X189">
        <f>HYPERLINK("https://klasma.github.io/Logging_2031/tillsyn/A 35415-2019 tillsynsbegäran.docx", "A 35415-2019")</f>
        <v/>
      </c>
      <c r="Y189">
        <f>HYPERLINK("https://klasma.github.io/Logging_2031/tillsynsmail/A 35415-2019 tillsynsbegäran mail.docx", "A 35415-2019")</f>
        <v/>
      </c>
    </row>
    <row r="190" ht="15" customHeight="1">
      <c r="A190" t="inlineStr">
        <is>
          <t>A 42208-2019</t>
        </is>
      </c>
      <c r="B190" s="1" t="n">
        <v>43703</v>
      </c>
      <c r="C190" s="1" t="n">
        <v>45217</v>
      </c>
      <c r="D190" t="inlineStr">
        <is>
          <t>DALARNAS LÄN</t>
        </is>
      </c>
      <c r="E190" t="inlineStr">
        <is>
          <t>ÄLVDALEN</t>
        </is>
      </c>
      <c r="G190" t="n">
        <v>21.5</v>
      </c>
      <c r="H190" t="n">
        <v>0</v>
      </c>
      <c r="I190" t="n">
        <v>0</v>
      </c>
      <c r="J190" t="n">
        <v>3</v>
      </c>
      <c r="K190" t="n">
        <v>0</v>
      </c>
      <c r="L190" t="n">
        <v>0</v>
      </c>
      <c r="M190" t="n">
        <v>0</v>
      </c>
      <c r="N190" t="n">
        <v>0</v>
      </c>
      <c r="O190" t="n">
        <v>3</v>
      </c>
      <c r="P190" t="n">
        <v>0</v>
      </c>
      <c r="Q190" t="n">
        <v>3</v>
      </c>
      <c r="R190" s="2" t="inlineStr">
        <is>
          <t>Blanksvart spiklav
Dvärgbägarlav
Vitplätt</t>
        </is>
      </c>
      <c r="S190">
        <f>HYPERLINK("https://klasma.github.io/Logging_2039/artfynd/A 42208-2019 artfynd.xlsx", "A 42208-2019")</f>
        <v/>
      </c>
      <c r="T190">
        <f>HYPERLINK("https://klasma.github.io/Logging_2039/kartor/A 42208-2019 karta.png", "A 42208-2019")</f>
        <v/>
      </c>
      <c r="V190">
        <f>HYPERLINK("https://klasma.github.io/Logging_2039/klagomål/A 42208-2019 FSC-klagomål.docx", "A 42208-2019")</f>
        <v/>
      </c>
      <c r="W190">
        <f>HYPERLINK("https://klasma.github.io/Logging_2039/klagomålsmail/A 42208-2019 FSC-klagomål mail.docx", "A 42208-2019")</f>
        <v/>
      </c>
      <c r="X190">
        <f>HYPERLINK("https://klasma.github.io/Logging_2039/tillsyn/A 42208-2019 tillsynsbegäran.docx", "A 42208-2019")</f>
        <v/>
      </c>
      <c r="Y190">
        <f>HYPERLINK("https://klasma.github.io/Logging_2039/tillsynsmail/A 42208-2019 tillsynsbegäran mail.docx", "A 42208-2019")</f>
        <v/>
      </c>
    </row>
    <row r="191" ht="15" customHeight="1">
      <c r="A191" t="inlineStr">
        <is>
          <t>A 66569-2019</t>
        </is>
      </c>
      <c r="B191" s="1" t="n">
        <v>43781</v>
      </c>
      <c r="C191" s="1" t="n">
        <v>45217</v>
      </c>
      <c r="D191" t="inlineStr">
        <is>
          <t>DALARNAS LÄN</t>
        </is>
      </c>
      <c r="E191" t="inlineStr">
        <is>
          <t>BORLÄNGE</t>
        </is>
      </c>
      <c r="G191" t="n">
        <v>1</v>
      </c>
      <c r="H191" t="n">
        <v>0</v>
      </c>
      <c r="I191" t="n">
        <v>2</v>
      </c>
      <c r="J191" t="n">
        <v>0</v>
      </c>
      <c r="K191" t="n">
        <v>1</v>
      </c>
      <c r="L191" t="n">
        <v>0</v>
      </c>
      <c r="M191" t="n">
        <v>0</v>
      </c>
      <c r="N191" t="n">
        <v>0</v>
      </c>
      <c r="O191" t="n">
        <v>1</v>
      </c>
      <c r="P191" t="n">
        <v>1</v>
      </c>
      <c r="Q191" t="n">
        <v>3</v>
      </c>
      <c r="R191" s="2" t="inlineStr">
        <is>
          <t>Kopparspindling
Strimspindling
Svavelriska</t>
        </is>
      </c>
      <c r="S191">
        <f>HYPERLINK("https://klasma.github.io/Logging_2081/artfynd/A 66569-2019 artfynd.xlsx", "A 66569-2019")</f>
        <v/>
      </c>
      <c r="T191">
        <f>HYPERLINK("https://klasma.github.io/Logging_2081/kartor/A 66569-2019 karta.png", "A 66569-2019")</f>
        <v/>
      </c>
      <c r="V191">
        <f>HYPERLINK("https://klasma.github.io/Logging_2081/klagomål/A 66569-2019 FSC-klagomål.docx", "A 66569-2019")</f>
        <v/>
      </c>
      <c r="W191">
        <f>HYPERLINK("https://klasma.github.io/Logging_2081/klagomålsmail/A 66569-2019 FSC-klagomål mail.docx", "A 66569-2019")</f>
        <v/>
      </c>
      <c r="X191">
        <f>HYPERLINK("https://klasma.github.io/Logging_2081/tillsyn/A 66569-2019 tillsynsbegäran.docx", "A 66569-2019")</f>
        <v/>
      </c>
      <c r="Y191">
        <f>HYPERLINK("https://klasma.github.io/Logging_2081/tillsynsmail/A 66569-2019 tillsynsbegäran mail.docx", "A 66569-2019")</f>
        <v/>
      </c>
    </row>
    <row r="192" ht="15" customHeight="1">
      <c r="A192" t="inlineStr">
        <is>
          <t>A 4969-2020</t>
        </is>
      </c>
      <c r="B192" s="1" t="n">
        <v>43859</v>
      </c>
      <c r="C192" s="1" t="n">
        <v>45217</v>
      </c>
      <c r="D192" t="inlineStr">
        <is>
          <t>DALARNAS LÄN</t>
        </is>
      </c>
      <c r="E192" t="inlineStr">
        <is>
          <t>MALUNG-SÄLEN</t>
        </is>
      </c>
      <c r="G192" t="n">
        <v>2.9</v>
      </c>
      <c r="H192" t="n">
        <v>0</v>
      </c>
      <c r="I192" t="n">
        <v>0</v>
      </c>
      <c r="J192" t="n">
        <v>3</v>
      </c>
      <c r="K192" t="n">
        <v>0</v>
      </c>
      <c r="L192" t="n">
        <v>0</v>
      </c>
      <c r="M192" t="n">
        <v>0</v>
      </c>
      <c r="N192" t="n">
        <v>0</v>
      </c>
      <c r="O192" t="n">
        <v>3</v>
      </c>
      <c r="P192" t="n">
        <v>0</v>
      </c>
      <c r="Q192" t="n">
        <v>3</v>
      </c>
      <c r="R192" s="2" t="inlineStr">
        <is>
          <t>Gammelgransskål
Garnlav
Violettgrå tagellav</t>
        </is>
      </c>
      <c r="S192">
        <f>HYPERLINK("https://klasma.github.io/Logging_2023/artfynd/A 4969-2020 artfynd.xlsx", "A 4969-2020")</f>
        <v/>
      </c>
      <c r="T192">
        <f>HYPERLINK("https://klasma.github.io/Logging_2023/kartor/A 4969-2020 karta.png", "A 4969-2020")</f>
        <v/>
      </c>
      <c r="V192">
        <f>HYPERLINK("https://klasma.github.io/Logging_2023/klagomål/A 4969-2020 FSC-klagomål.docx", "A 4969-2020")</f>
        <v/>
      </c>
      <c r="W192">
        <f>HYPERLINK("https://klasma.github.io/Logging_2023/klagomålsmail/A 4969-2020 FSC-klagomål mail.docx", "A 4969-2020")</f>
        <v/>
      </c>
      <c r="X192">
        <f>HYPERLINK("https://klasma.github.io/Logging_2023/tillsyn/A 4969-2020 tillsynsbegäran.docx", "A 4969-2020")</f>
        <v/>
      </c>
      <c r="Y192">
        <f>HYPERLINK("https://klasma.github.io/Logging_2023/tillsynsmail/A 4969-2020 tillsynsbegäran mail.docx", "A 4969-2020")</f>
        <v/>
      </c>
    </row>
    <row r="193" ht="15" customHeight="1">
      <c r="A193" t="inlineStr">
        <is>
          <t>A 18380-2020</t>
        </is>
      </c>
      <c r="B193" s="1" t="n">
        <v>43928</v>
      </c>
      <c r="C193" s="1" t="n">
        <v>45217</v>
      </c>
      <c r="D193" t="inlineStr">
        <is>
          <t>DALARNAS LÄN</t>
        </is>
      </c>
      <c r="E193" t="inlineStr">
        <is>
          <t>MORA</t>
        </is>
      </c>
      <c r="G193" t="n">
        <v>5.8</v>
      </c>
      <c r="H193" t="n">
        <v>1</v>
      </c>
      <c r="I193" t="n">
        <v>0</v>
      </c>
      <c r="J193" t="n">
        <v>3</v>
      </c>
      <c r="K193" t="n">
        <v>0</v>
      </c>
      <c r="L193" t="n">
        <v>0</v>
      </c>
      <c r="M193" t="n">
        <v>0</v>
      </c>
      <c r="N193" t="n">
        <v>0</v>
      </c>
      <c r="O193" t="n">
        <v>3</v>
      </c>
      <c r="P193" t="n">
        <v>0</v>
      </c>
      <c r="Q193" t="n">
        <v>3</v>
      </c>
      <c r="R193" s="2" t="inlineStr">
        <is>
          <t>Garnlav
Kolflarnlav
Tretåig hackspett</t>
        </is>
      </c>
      <c r="S193">
        <f>HYPERLINK("https://klasma.github.io/Logging_2062/artfynd/A 18380-2020 artfynd.xlsx", "A 18380-2020")</f>
        <v/>
      </c>
      <c r="T193">
        <f>HYPERLINK("https://klasma.github.io/Logging_2062/kartor/A 18380-2020 karta.png", "A 18380-2020")</f>
        <v/>
      </c>
      <c r="V193">
        <f>HYPERLINK("https://klasma.github.io/Logging_2062/klagomål/A 18380-2020 FSC-klagomål.docx", "A 18380-2020")</f>
        <v/>
      </c>
      <c r="W193">
        <f>HYPERLINK("https://klasma.github.io/Logging_2062/klagomålsmail/A 18380-2020 FSC-klagomål mail.docx", "A 18380-2020")</f>
        <v/>
      </c>
      <c r="X193">
        <f>HYPERLINK("https://klasma.github.io/Logging_2062/tillsyn/A 18380-2020 tillsynsbegäran.docx", "A 18380-2020")</f>
        <v/>
      </c>
      <c r="Y193">
        <f>HYPERLINK("https://klasma.github.io/Logging_2062/tillsynsmail/A 18380-2020 tillsynsbegäran mail.docx", "A 18380-2020")</f>
        <v/>
      </c>
    </row>
    <row r="194" ht="15" customHeight="1">
      <c r="A194" t="inlineStr">
        <is>
          <t>A 29285-2020</t>
        </is>
      </c>
      <c r="B194" s="1" t="n">
        <v>44000</v>
      </c>
      <c r="C194" s="1" t="n">
        <v>45217</v>
      </c>
      <c r="D194" t="inlineStr">
        <is>
          <t>DALARNAS LÄN</t>
        </is>
      </c>
      <c r="E194" t="inlineStr">
        <is>
          <t>LUDVIKA</t>
        </is>
      </c>
      <c r="G194" t="n">
        <v>2.5</v>
      </c>
      <c r="H194" t="n">
        <v>0</v>
      </c>
      <c r="I194" t="n">
        <v>1</v>
      </c>
      <c r="J194" t="n">
        <v>2</v>
      </c>
      <c r="K194" t="n">
        <v>0</v>
      </c>
      <c r="L194" t="n">
        <v>0</v>
      </c>
      <c r="M194" t="n">
        <v>0</v>
      </c>
      <c r="N194" t="n">
        <v>0</v>
      </c>
      <c r="O194" t="n">
        <v>2</v>
      </c>
      <c r="P194" t="n">
        <v>0</v>
      </c>
      <c r="Q194" t="n">
        <v>3</v>
      </c>
      <c r="R194" s="2" t="inlineStr">
        <is>
          <t>Violettgrå tagellav
Vitgrynig nållav
Nästlav</t>
        </is>
      </c>
      <c r="S194">
        <f>HYPERLINK("https://klasma.github.io/Logging_2085/artfynd/A 29285-2020 artfynd.xlsx", "A 29285-2020")</f>
        <v/>
      </c>
      <c r="T194">
        <f>HYPERLINK("https://klasma.github.io/Logging_2085/kartor/A 29285-2020 karta.png", "A 29285-2020")</f>
        <v/>
      </c>
      <c r="V194">
        <f>HYPERLINK("https://klasma.github.io/Logging_2085/klagomål/A 29285-2020 FSC-klagomål.docx", "A 29285-2020")</f>
        <v/>
      </c>
      <c r="W194">
        <f>HYPERLINK("https://klasma.github.io/Logging_2085/klagomålsmail/A 29285-2020 FSC-klagomål mail.docx", "A 29285-2020")</f>
        <v/>
      </c>
      <c r="X194">
        <f>HYPERLINK("https://klasma.github.io/Logging_2085/tillsyn/A 29285-2020 tillsynsbegäran.docx", "A 29285-2020")</f>
        <v/>
      </c>
      <c r="Y194">
        <f>HYPERLINK("https://klasma.github.io/Logging_2085/tillsynsmail/A 29285-2020 tillsynsbegäran mail.docx", "A 29285-2020")</f>
        <v/>
      </c>
    </row>
    <row r="195" ht="15" customHeight="1">
      <c r="A195" t="inlineStr">
        <is>
          <t>A 40241-2020</t>
        </is>
      </c>
      <c r="B195" s="1" t="n">
        <v>44068</v>
      </c>
      <c r="C195" s="1" t="n">
        <v>45217</v>
      </c>
      <c r="D195" t="inlineStr">
        <is>
          <t>DALARNAS LÄN</t>
        </is>
      </c>
      <c r="E195" t="inlineStr">
        <is>
          <t>FALUN</t>
        </is>
      </c>
      <c r="F195" t="inlineStr">
        <is>
          <t>Bergvik skog väst AB</t>
        </is>
      </c>
      <c r="G195" t="n">
        <v>6.3</v>
      </c>
      <c r="H195" t="n">
        <v>1</v>
      </c>
      <c r="I195" t="n">
        <v>0</v>
      </c>
      <c r="J195" t="n">
        <v>3</v>
      </c>
      <c r="K195" t="n">
        <v>0</v>
      </c>
      <c r="L195" t="n">
        <v>0</v>
      </c>
      <c r="M195" t="n">
        <v>0</v>
      </c>
      <c r="N195" t="n">
        <v>0</v>
      </c>
      <c r="O195" t="n">
        <v>3</v>
      </c>
      <c r="P195" t="n">
        <v>0</v>
      </c>
      <c r="Q195" t="n">
        <v>3</v>
      </c>
      <c r="R195" s="2" t="inlineStr">
        <is>
          <t>Kortskaftad ärgspik
Varglav
Vedskivlav</t>
        </is>
      </c>
      <c r="S195">
        <f>HYPERLINK("https://klasma.github.io/Logging_2080/artfynd/A 40241-2020 artfynd.xlsx", "A 40241-2020")</f>
        <v/>
      </c>
      <c r="T195">
        <f>HYPERLINK("https://klasma.github.io/Logging_2080/kartor/A 40241-2020 karta.png", "A 40241-2020")</f>
        <v/>
      </c>
      <c r="V195">
        <f>HYPERLINK("https://klasma.github.io/Logging_2080/klagomål/A 40241-2020 FSC-klagomål.docx", "A 40241-2020")</f>
        <v/>
      </c>
      <c r="W195">
        <f>HYPERLINK("https://klasma.github.io/Logging_2080/klagomålsmail/A 40241-2020 FSC-klagomål mail.docx", "A 40241-2020")</f>
        <v/>
      </c>
      <c r="X195">
        <f>HYPERLINK("https://klasma.github.io/Logging_2080/tillsyn/A 40241-2020 tillsynsbegäran.docx", "A 40241-2020")</f>
        <v/>
      </c>
      <c r="Y195">
        <f>HYPERLINK("https://klasma.github.io/Logging_2080/tillsynsmail/A 40241-2020 tillsynsbegäran mail.docx", "A 40241-2020")</f>
        <v/>
      </c>
    </row>
    <row r="196" ht="15" customHeight="1">
      <c r="A196" t="inlineStr">
        <is>
          <t>A 42651-2020</t>
        </is>
      </c>
      <c r="B196" s="1" t="n">
        <v>44077</v>
      </c>
      <c r="C196" s="1" t="n">
        <v>45217</v>
      </c>
      <c r="D196" t="inlineStr">
        <is>
          <t>DALARNAS LÄN</t>
        </is>
      </c>
      <c r="E196" t="inlineStr">
        <is>
          <t>ORSA</t>
        </is>
      </c>
      <c r="G196" t="n">
        <v>3.9</v>
      </c>
      <c r="H196" t="n">
        <v>0</v>
      </c>
      <c r="I196" t="n">
        <v>0</v>
      </c>
      <c r="J196" t="n">
        <v>3</v>
      </c>
      <c r="K196" t="n">
        <v>0</v>
      </c>
      <c r="L196" t="n">
        <v>0</v>
      </c>
      <c r="M196" t="n">
        <v>0</v>
      </c>
      <c r="N196" t="n">
        <v>0</v>
      </c>
      <c r="O196" t="n">
        <v>3</v>
      </c>
      <c r="P196" t="n">
        <v>0</v>
      </c>
      <c r="Q196" t="n">
        <v>3</v>
      </c>
      <c r="R196" s="2" t="inlineStr">
        <is>
          <t>Skrovellav
Tallticka
Vedflamlav</t>
        </is>
      </c>
      <c r="S196">
        <f>HYPERLINK("https://klasma.github.io/Logging_2034/artfynd/A 42651-2020 artfynd.xlsx", "A 42651-2020")</f>
        <v/>
      </c>
      <c r="T196">
        <f>HYPERLINK("https://klasma.github.io/Logging_2034/kartor/A 42651-2020 karta.png", "A 42651-2020")</f>
        <v/>
      </c>
      <c r="V196">
        <f>HYPERLINK("https://klasma.github.io/Logging_2034/klagomål/A 42651-2020 FSC-klagomål.docx", "A 42651-2020")</f>
        <v/>
      </c>
      <c r="W196">
        <f>HYPERLINK("https://klasma.github.io/Logging_2034/klagomålsmail/A 42651-2020 FSC-klagomål mail.docx", "A 42651-2020")</f>
        <v/>
      </c>
      <c r="X196">
        <f>HYPERLINK("https://klasma.github.io/Logging_2034/tillsyn/A 42651-2020 tillsynsbegäran.docx", "A 42651-2020")</f>
        <v/>
      </c>
      <c r="Y196">
        <f>HYPERLINK("https://klasma.github.io/Logging_2034/tillsynsmail/A 42651-2020 tillsynsbegäran mail.docx", "A 42651-2020")</f>
        <v/>
      </c>
    </row>
    <row r="197" ht="15" customHeight="1">
      <c r="A197" t="inlineStr">
        <is>
          <t>A 49272-2020</t>
        </is>
      </c>
      <c r="B197" s="1" t="n">
        <v>44105</v>
      </c>
      <c r="C197" s="1" t="n">
        <v>45217</v>
      </c>
      <c r="D197" t="inlineStr">
        <is>
          <t>DALARNAS LÄN</t>
        </is>
      </c>
      <c r="E197" t="inlineStr">
        <is>
          <t>HEDEMORA</t>
        </is>
      </c>
      <c r="F197" t="inlineStr">
        <is>
          <t>Sveaskog</t>
        </is>
      </c>
      <c r="G197" t="n">
        <v>2.5</v>
      </c>
      <c r="H197" t="n">
        <v>2</v>
      </c>
      <c r="I197" t="n">
        <v>0</v>
      </c>
      <c r="J197" t="n">
        <v>2</v>
      </c>
      <c r="K197" t="n">
        <v>1</v>
      </c>
      <c r="L197" t="n">
        <v>0</v>
      </c>
      <c r="M197" t="n">
        <v>0</v>
      </c>
      <c r="N197" t="n">
        <v>0</v>
      </c>
      <c r="O197" t="n">
        <v>3</v>
      </c>
      <c r="P197" t="n">
        <v>1</v>
      </c>
      <c r="Q197" t="n">
        <v>3</v>
      </c>
      <c r="R197" s="2" t="inlineStr">
        <is>
          <t>Knärot
Spillkråka
Tallticka</t>
        </is>
      </c>
      <c r="S197">
        <f>HYPERLINK("https://klasma.github.io/Logging_2083/artfynd/A 49272-2020 artfynd.xlsx", "A 49272-2020")</f>
        <v/>
      </c>
      <c r="T197">
        <f>HYPERLINK("https://klasma.github.io/Logging_2083/kartor/A 49272-2020 karta.png", "A 49272-2020")</f>
        <v/>
      </c>
      <c r="U197">
        <f>HYPERLINK("https://klasma.github.io/Logging_2083/knärot/A 49272-2020 karta knärot.png", "A 49272-2020")</f>
        <v/>
      </c>
      <c r="V197">
        <f>HYPERLINK("https://klasma.github.io/Logging_2083/klagomål/A 49272-2020 FSC-klagomål.docx", "A 49272-2020")</f>
        <v/>
      </c>
      <c r="W197">
        <f>HYPERLINK("https://klasma.github.io/Logging_2083/klagomålsmail/A 49272-2020 FSC-klagomål mail.docx", "A 49272-2020")</f>
        <v/>
      </c>
      <c r="X197">
        <f>HYPERLINK("https://klasma.github.io/Logging_2083/tillsyn/A 49272-2020 tillsynsbegäran.docx", "A 49272-2020")</f>
        <v/>
      </c>
      <c r="Y197">
        <f>HYPERLINK("https://klasma.github.io/Logging_2083/tillsynsmail/A 49272-2020 tillsynsbegäran mail.docx", "A 49272-2020")</f>
        <v/>
      </c>
    </row>
    <row r="198" ht="15" customHeight="1">
      <c r="A198" t="inlineStr">
        <is>
          <t>A 51999-2020</t>
        </is>
      </c>
      <c r="B198" s="1" t="n">
        <v>44110</v>
      </c>
      <c r="C198" s="1" t="n">
        <v>45217</v>
      </c>
      <c r="D198" t="inlineStr">
        <is>
          <t>DALARNAS LÄN</t>
        </is>
      </c>
      <c r="E198" t="inlineStr">
        <is>
          <t>FALUN</t>
        </is>
      </c>
      <c r="G198" t="n">
        <v>4.3</v>
      </c>
      <c r="H198" t="n">
        <v>0</v>
      </c>
      <c r="I198" t="n">
        <v>1</v>
      </c>
      <c r="J198" t="n">
        <v>1</v>
      </c>
      <c r="K198" t="n">
        <v>1</v>
      </c>
      <c r="L198" t="n">
        <v>0</v>
      </c>
      <c r="M198" t="n">
        <v>0</v>
      </c>
      <c r="N198" t="n">
        <v>0</v>
      </c>
      <c r="O198" t="n">
        <v>2</v>
      </c>
      <c r="P198" t="n">
        <v>1</v>
      </c>
      <c r="Q198" t="n">
        <v>3</v>
      </c>
      <c r="R198" s="2" t="inlineStr">
        <is>
          <t>Goliatmusseron
Blå taggsvamp
Mindre märgborre</t>
        </is>
      </c>
      <c r="S198">
        <f>HYPERLINK("https://klasma.github.io/Logging_2080/artfynd/A 51999-2020 artfynd.xlsx", "A 51999-2020")</f>
        <v/>
      </c>
      <c r="T198">
        <f>HYPERLINK("https://klasma.github.io/Logging_2080/kartor/A 51999-2020 karta.png", "A 51999-2020")</f>
        <v/>
      </c>
      <c r="V198">
        <f>HYPERLINK("https://klasma.github.io/Logging_2080/klagomål/A 51999-2020 FSC-klagomål.docx", "A 51999-2020")</f>
        <v/>
      </c>
      <c r="W198">
        <f>HYPERLINK("https://klasma.github.io/Logging_2080/klagomålsmail/A 51999-2020 FSC-klagomål mail.docx", "A 51999-2020")</f>
        <v/>
      </c>
      <c r="X198">
        <f>HYPERLINK("https://klasma.github.io/Logging_2080/tillsyn/A 51999-2020 tillsynsbegäran.docx", "A 51999-2020")</f>
        <v/>
      </c>
      <c r="Y198">
        <f>HYPERLINK("https://klasma.github.io/Logging_2080/tillsynsmail/A 51999-2020 tillsynsbegäran mail.docx", "A 51999-2020")</f>
        <v/>
      </c>
    </row>
    <row r="199" ht="15" customHeight="1">
      <c r="A199" t="inlineStr">
        <is>
          <t>A 55022-2020</t>
        </is>
      </c>
      <c r="B199" s="1" t="n">
        <v>44130</v>
      </c>
      <c r="C199" s="1" t="n">
        <v>45217</v>
      </c>
      <c r="D199" t="inlineStr">
        <is>
          <t>DALARNAS LÄN</t>
        </is>
      </c>
      <c r="E199" t="inlineStr">
        <is>
          <t>HEDEMORA</t>
        </is>
      </c>
      <c r="F199" t="inlineStr">
        <is>
          <t>Sveaskog</t>
        </is>
      </c>
      <c r="G199" t="n">
        <v>3.2</v>
      </c>
      <c r="H199" t="n">
        <v>1</v>
      </c>
      <c r="I199" t="n">
        <v>0</v>
      </c>
      <c r="J199" t="n">
        <v>2</v>
      </c>
      <c r="K199" t="n">
        <v>1</v>
      </c>
      <c r="L199" t="n">
        <v>0</v>
      </c>
      <c r="M199" t="n">
        <v>0</v>
      </c>
      <c r="N199" t="n">
        <v>0</v>
      </c>
      <c r="O199" t="n">
        <v>3</v>
      </c>
      <c r="P199" t="n">
        <v>1</v>
      </c>
      <c r="Q199" t="n">
        <v>3</v>
      </c>
      <c r="R199" s="2" t="inlineStr">
        <is>
          <t>Knärot
Garnlav
Ullticka</t>
        </is>
      </c>
      <c r="S199">
        <f>HYPERLINK("https://klasma.github.io/Logging_2083/artfynd/A 55022-2020 artfynd.xlsx", "A 55022-2020")</f>
        <v/>
      </c>
      <c r="T199">
        <f>HYPERLINK("https://klasma.github.io/Logging_2083/kartor/A 55022-2020 karta.png", "A 55022-2020")</f>
        <v/>
      </c>
      <c r="U199">
        <f>HYPERLINK("https://klasma.github.io/Logging_2083/knärot/A 55022-2020 karta knärot.png", "A 55022-2020")</f>
        <v/>
      </c>
      <c r="V199">
        <f>HYPERLINK("https://klasma.github.io/Logging_2083/klagomål/A 55022-2020 FSC-klagomål.docx", "A 55022-2020")</f>
        <v/>
      </c>
      <c r="W199">
        <f>HYPERLINK("https://klasma.github.io/Logging_2083/klagomålsmail/A 55022-2020 FSC-klagomål mail.docx", "A 55022-2020")</f>
        <v/>
      </c>
      <c r="X199">
        <f>HYPERLINK("https://klasma.github.io/Logging_2083/tillsyn/A 55022-2020 tillsynsbegäran.docx", "A 55022-2020")</f>
        <v/>
      </c>
      <c r="Y199">
        <f>HYPERLINK("https://klasma.github.io/Logging_2083/tillsynsmail/A 55022-2020 tillsynsbegäran mail.docx", "A 55022-2020")</f>
        <v/>
      </c>
    </row>
    <row r="200" ht="15" customHeight="1">
      <c r="A200" t="inlineStr">
        <is>
          <t>A 59449-2020</t>
        </is>
      </c>
      <c r="B200" s="1" t="n">
        <v>44148</v>
      </c>
      <c r="C200" s="1" t="n">
        <v>45217</v>
      </c>
      <c r="D200" t="inlineStr">
        <is>
          <t>DALARNAS LÄN</t>
        </is>
      </c>
      <c r="E200" t="inlineStr">
        <is>
          <t>RÄTTVIK</t>
        </is>
      </c>
      <c r="G200" t="n">
        <v>1</v>
      </c>
      <c r="H200" t="n">
        <v>0</v>
      </c>
      <c r="I200" t="n">
        <v>0</v>
      </c>
      <c r="J200" t="n">
        <v>2</v>
      </c>
      <c r="K200" t="n">
        <v>1</v>
      </c>
      <c r="L200" t="n">
        <v>0</v>
      </c>
      <c r="M200" t="n">
        <v>0</v>
      </c>
      <c r="N200" t="n">
        <v>0</v>
      </c>
      <c r="O200" t="n">
        <v>3</v>
      </c>
      <c r="P200" t="n">
        <v>1</v>
      </c>
      <c r="Q200" t="n">
        <v>3</v>
      </c>
      <c r="R200" s="2" t="inlineStr">
        <is>
          <t>Rynkskinn
Rosenticka
Ullticka</t>
        </is>
      </c>
      <c r="S200">
        <f>HYPERLINK("https://klasma.github.io/Logging_2031/artfynd/A 59449-2020 artfynd.xlsx", "A 59449-2020")</f>
        <v/>
      </c>
      <c r="T200">
        <f>HYPERLINK("https://klasma.github.io/Logging_2031/kartor/A 59449-2020 karta.png", "A 59449-2020")</f>
        <v/>
      </c>
      <c r="V200">
        <f>HYPERLINK("https://klasma.github.io/Logging_2031/klagomål/A 59449-2020 FSC-klagomål.docx", "A 59449-2020")</f>
        <v/>
      </c>
      <c r="W200">
        <f>HYPERLINK("https://klasma.github.io/Logging_2031/klagomålsmail/A 59449-2020 FSC-klagomål mail.docx", "A 59449-2020")</f>
        <v/>
      </c>
      <c r="X200">
        <f>HYPERLINK("https://klasma.github.io/Logging_2031/tillsyn/A 59449-2020 tillsynsbegäran.docx", "A 59449-2020")</f>
        <v/>
      </c>
      <c r="Y200">
        <f>HYPERLINK("https://klasma.github.io/Logging_2031/tillsynsmail/A 59449-2020 tillsynsbegäran mail.docx", "A 59449-2020")</f>
        <v/>
      </c>
    </row>
    <row r="201" ht="15" customHeight="1">
      <c r="A201" t="inlineStr">
        <is>
          <t>A 69138-2020</t>
        </is>
      </c>
      <c r="B201" s="1" t="n">
        <v>44188</v>
      </c>
      <c r="C201" s="1" t="n">
        <v>45217</v>
      </c>
      <c r="D201" t="inlineStr">
        <is>
          <t>DALARNAS LÄN</t>
        </is>
      </c>
      <c r="E201" t="inlineStr">
        <is>
          <t>LUDVIKA</t>
        </is>
      </c>
      <c r="G201" t="n">
        <v>6.7</v>
      </c>
      <c r="H201" t="n">
        <v>0</v>
      </c>
      <c r="I201" t="n">
        <v>3</v>
      </c>
      <c r="J201" t="n">
        <v>0</v>
      </c>
      <c r="K201" t="n">
        <v>0</v>
      </c>
      <c r="L201" t="n">
        <v>0</v>
      </c>
      <c r="M201" t="n">
        <v>0</v>
      </c>
      <c r="N201" t="n">
        <v>0</v>
      </c>
      <c r="O201" t="n">
        <v>0</v>
      </c>
      <c r="P201" t="n">
        <v>0</v>
      </c>
      <c r="Q201" t="n">
        <v>3</v>
      </c>
      <c r="R201" s="2" t="inlineStr">
        <is>
          <t>Rödgul trumpetsvamp
Svavelriska
Tibast</t>
        </is>
      </c>
      <c r="S201">
        <f>HYPERLINK("https://klasma.github.io/Logging_2085/artfynd/A 69138-2020 artfynd.xlsx", "A 69138-2020")</f>
        <v/>
      </c>
      <c r="T201">
        <f>HYPERLINK("https://klasma.github.io/Logging_2085/kartor/A 69138-2020 karta.png", "A 69138-2020")</f>
        <v/>
      </c>
      <c r="V201">
        <f>HYPERLINK("https://klasma.github.io/Logging_2085/klagomål/A 69138-2020 FSC-klagomål.docx", "A 69138-2020")</f>
        <v/>
      </c>
      <c r="W201">
        <f>HYPERLINK("https://klasma.github.io/Logging_2085/klagomålsmail/A 69138-2020 FSC-klagomål mail.docx", "A 69138-2020")</f>
        <v/>
      </c>
      <c r="X201">
        <f>HYPERLINK("https://klasma.github.io/Logging_2085/tillsyn/A 69138-2020 tillsynsbegäran.docx", "A 69138-2020")</f>
        <v/>
      </c>
      <c r="Y201">
        <f>HYPERLINK("https://klasma.github.io/Logging_2085/tillsynsmail/A 69138-2020 tillsynsbegäran mail.docx", "A 69138-2020")</f>
        <v/>
      </c>
    </row>
    <row r="202" ht="15" customHeight="1">
      <c r="A202" t="inlineStr">
        <is>
          <t>A 29213-2021</t>
        </is>
      </c>
      <c r="B202" s="1" t="n">
        <v>44359</v>
      </c>
      <c r="C202" s="1" t="n">
        <v>45217</v>
      </c>
      <c r="D202" t="inlineStr">
        <is>
          <t>DALARNAS LÄN</t>
        </is>
      </c>
      <c r="E202" t="inlineStr">
        <is>
          <t>HEDEMORA</t>
        </is>
      </c>
      <c r="F202" t="inlineStr">
        <is>
          <t>Sveaskog</t>
        </is>
      </c>
      <c r="G202" t="n">
        <v>1.1</v>
      </c>
      <c r="H202" t="n">
        <v>1</v>
      </c>
      <c r="I202" t="n">
        <v>2</v>
      </c>
      <c r="J202" t="n">
        <v>0</v>
      </c>
      <c r="K202" t="n">
        <v>1</v>
      </c>
      <c r="L202" t="n">
        <v>0</v>
      </c>
      <c r="M202" t="n">
        <v>0</v>
      </c>
      <c r="N202" t="n">
        <v>0</v>
      </c>
      <c r="O202" t="n">
        <v>1</v>
      </c>
      <c r="P202" t="n">
        <v>1</v>
      </c>
      <c r="Q202" t="n">
        <v>3</v>
      </c>
      <c r="R202" s="2" t="inlineStr">
        <is>
          <t>Knärot
Bronshjon
Underviol</t>
        </is>
      </c>
      <c r="S202">
        <f>HYPERLINK("https://klasma.github.io/Logging_2083/artfynd/A 29213-2021 artfynd.xlsx", "A 29213-2021")</f>
        <v/>
      </c>
      <c r="T202">
        <f>HYPERLINK("https://klasma.github.io/Logging_2083/kartor/A 29213-2021 karta.png", "A 29213-2021")</f>
        <v/>
      </c>
      <c r="U202">
        <f>HYPERLINK("https://klasma.github.io/Logging_2083/knärot/A 29213-2021 karta knärot.png", "A 29213-2021")</f>
        <v/>
      </c>
      <c r="V202">
        <f>HYPERLINK("https://klasma.github.io/Logging_2083/klagomål/A 29213-2021 FSC-klagomål.docx", "A 29213-2021")</f>
        <v/>
      </c>
      <c r="W202">
        <f>HYPERLINK("https://klasma.github.io/Logging_2083/klagomålsmail/A 29213-2021 FSC-klagomål mail.docx", "A 29213-2021")</f>
        <v/>
      </c>
      <c r="X202">
        <f>HYPERLINK("https://klasma.github.io/Logging_2083/tillsyn/A 29213-2021 tillsynsbegäran.docx", "A 29213-2021")</f>
        <v/>
      </c>
      <c r="Y202">
        <f>HYPERLINK("https://klasma.github.io/Logging_2083/tillsynsmail/A 29213-2021 tillsynsbegäran mail.docx", "A 29213-2021")</f>
        <v/>
      </c>
    </row>
    <row r="203" ht="15" customHeight="1">
      <c r="A203" t="inlineStr">
        <is>
          <t>A 31917-2021</t>
        </is>
      </c>
      <c r="B203" s="1" t="n">
        <v>44370</v>
      </c>
      <c r="C203" s="1" t="n">
        <v>45217</v>
      </c>
      <c r="D203" t="inlineStr">
        <is>
          <t>DALARNAS LÄN</t>
        </is>
      </c>
      <c r="E203" t="inlineStr">
        <is>
          <t>VANSBRO</t>
        </is>
      </c>
      <c r="G203" t="n">
        <v>7.6</v>
      </c>
      <c r="H203" t="n">
        <v>0</v>
      </c>
      <c r="I203" t="n">
        <v>2</v>
      </c>
      <c r="J203" t="n">
        <v>1</v>
      </c>
      <c r="K203" t="n">
        <v>0</v>
      </c>
      <c r="L203" t="n">
        <v>0</v>
      </c>
      <c r="M203" t="n">
        <v>0</v>
      </c>
      <c r="N203" t="n">
        <v>0</v>
      </c>
      <c r="O203" t="n">
        <v>1</v>
      </c>
      <c r="P203" t="n">
        <v>0</v>
      </c>
      <c r="Q203" t="n">
        <v>3</v>
      </c>
      <c r="R203" s="2" t="inlineStr">
        <is>
          <t>Garnlav
Dropptaggsvamp
Mindre märgborre</t>
        </is>
      </c>
      <c r="S203">
        <f>HYPERLINK("https://klasma.github.io/Logging_2021/artfynd/A 31917-2021 artfynd.xlsx", "A 31917-2021")</f>
        <v/>
      </c>
      <c r="T203">
        <f>HYPERLINK("https://klasma.github.io/Logging_2021/kartor/A 31917-2021 karta.png", "A 31917-2021")</f>
        <v/>
      </c>
      <c r="V203">
        <f>HYPERLINK("https://klasma.github.io/Logging_2021/klagomål/A 31917-2021 FSC-klagomål.docx", "A 31917-2021")</f>
        <v/>
      </c>
      <c r="W203">
        <f>HYPERLINK("https://klasma.github.io/Logging_2021/klagomålsmail/A 31917-2021 FSC-klagomål mail.docx", "A 31917-2021")</f>
        <v/>
      </c>
      <c r="X203">
        <f>HYPERLINK("https://klasma.github.io/Logging_2021/tillsyn/A 31917-2021 tillsynsbegäran.docx", "A 31917-2021")</f>
        <v/>
      </c>
      <c r="Y203">
        <f>HYPERLINK("https://klasma.github.io/Logging_2021/tillsynsmail/A 31917-2021 tillsynsbegäran mail.docx", "A 31917-2021")</f>
        <v/>
      </c>
    </row>
    <row r="204" ht="15" customHeight="1">
      <c r="A204" t="inlineStr">
        <is>
          <t>A 33582-2021</t>
        </is>
      </c>
      <c r="B204" s="1" t="n">
        <v>44377</v>
      </c>
      <c r="C204" s="1" t="n">
        <v>45217</v>
      </c>
      <c r="D204" t="inlineStr">
        <is>
          <t>DALARNAS LÄN</t>
        </is>
      </c>
      <c r="E204" t="inlineStr">
        <is>
          <t>ÄLVDALEN</t>
        </is>
      </c>
      <c r="F204" t="inlineStr">
        <is>
          <t>Sveaskog</t>
        </is>
      </c>
      <c r="G204" t="n">
        <v>9.199999999999999</v>
      </c>
      <c r="H204" t="n">
        <v>0</v>
      </c>
      <c r="I204" t="n">
        <v>1</v>
      </c>
      <c r="J204" t="n">
        <v>2</v>
      </c>
      <c r="K204" t="n">
        <v>0</v>
      </c>
      <c r="L204" t="n">
        <v>0</v>
      </c>
      <c r="M204" t="n">
        <v>0</v>
      </c>
      <c r="N204" t="n">
        <v>0</v>
      </c>
      <c r="O204" t="n">
        <v>2</v>
      </c>
      <c r="P204" t="n">
        <v>0</v>
      </c>
      <c r="Q204" t="n">
        <v>3</v>
      </c>
      <c r="R204" s="2" t="inlineStr">
        <is>
          <t>Blanksvart spiklav
Dvärgbägarlav
Dropptaggsvamp</t>
        </is>
      </c>
      <c r="S204">
        <f>HYPERLINK("https://klasma.github.io/Logging_2039/artfynd/A 33582-2021 artfynd.xlsx", "A 33582-2021")</f>
        <v/>
      </c>
      <c r="T204">
        <f>HYPERLINK("https://klasma.github.io/Logging_2039/kartor/A 33582-2021 karta.png", "A 33582-2021")</f>
        <v/>
      </c>
      <c r="V204">
        <f>HYPERLINK("https://klasma.github.io/Logging_2039/klagomål/A 33582-2021 FSC-klagomål.docx", "A 33582-2021")</f>
        <v/>
      </c>
      <c r="W204">
        <f>HYPERLINK("https://klasma.github.io/Logging_2039/klagomålsmail/A 33582-2021 FSC-klagomål mail.docx", "A 33582-2021")</f>
        <v/>
      </c>
      <c r="X204">
        <f>HYPERLINK("https://klasma.github.io/Logging_2039/tillsyn/A 33582-2021 tillsynsbegäran.docx", "A 33582-2021")</f>
        <v/>
      </c>
      <c r="Y204">
        <f>HYPERLINK("https://klasma.github.io/Logging_2039/tillsynsmail/A 33582-2021 tillsynsbegäran mail.docx", "A 33582-2021")</f>
        <v/>
      </c>
    </row>
    <row r="205" ht="15" customHeight="1">
      <c r="A205" t="inlineStr">
        <is>
          <t>A 34360-2021</t>
        </is>
      </c>
      <c r="B205" s="1" t="n">
        <v>44379</v>
      </c>
      <c r="C205" s="1" t="n">
        <v>45217</v>
      </c>
      <c r="D205" t="inlineStr">
        <is>
          <t>DALARNAS LÄN</t>
        </is>
      </c>
      <c r="E205" t="inlineStr">
        <is>
          <t>HEDEMORA</t>
        </is>
      </c>
      <c r="F205" t="inlineStr">
        <is>
          <t>Sveaskog</t>
        </is>
      </c>
      <c r="G205" t="n">
        <v>3.6</v>
      </c>
      <c r="H205" t="n">
        <v>2</v>
      </c>
      <c r="I205" t="n">
        <v>1</v>
      </c>
      <c r="J205" t="n">
        <v>1</v>
      </c>
      <c r="K205" t="n">
        <v>1</v>
      </c>
      <c r="L205" t="n">
        <v>0</v>
      </c>
      <c r="M205" t="n">
        <v>0</v>
      </c>
      <c r="N205" t="n">
        <v>0</v>
      </c>
      <c r="O205" t="n">
        <v>2</v>
      </c>
      <c r="P205" t="n">
        <v>1</v>
      </c>
      <c r="Q205" t="n">
        <v>3</v>
      </c>
      <c r="R205" s="2" t="inlineStr">
        <is>
          <t>Knärot
Spillkråka
Bronshjon</t>
        </is>
      </c>
      <c r="S205">
        <f>HYPERLINK("https://klasma.github.io/Logging_2083/artfynd/A 34360-2021 artfynd.xlsx", "A 34360-2021")</f>
        <v/>
      </c>
      <c r="T205">
        <f>HYPERLINK("https://klasma.github.io/Logging_2083/kartor/A 34360-2021 karta.png", "A 34360-2021")</f>
        <v/>
      </c>
      <c r="U205">
        <f>HYPERLINK("https://klasma.github.io/Logging_2083/knärot/A 34360-2021 karta knärot.png", "A 34360-2021")</f>
        <v/>
      </c>
      <c r="V205">
        <f>HYPERLINK("https://klasma.github.io/Logging_2083/klagomål/A 34360-2021 FSC-klagomål.docx", "A 34360-2021")</f>
        <v/>
      </c>
      <c r="W205">
        <f>HYPERLINK("https://klasma.github.io/Logging_2083/klagomålsmail/A 34360-2021 FSC-klagomål mail.docx", "A 34360-2021")</f>
        <v/>
      </c>
      <c r="X205">
        <f>HYPERLINK("https://klasma.github.io/Logging_2083/tillsyn/A 34360-2021 tillsynsbegäran.docx", "A 34360-2021")</f>
        <v/>
      </c>
      <c r="Y205">
        <f>HYPERLINK("https://klasma.github.io/Logging_2083/tillsynsmail/A 34360-2021 tillsynsbegäran mail.docx", "A 34360-2021")</f>
        <v/>
      </c>
    </row>
    <row r="206" ht="15" customHeight="1">
      <c r="A206" t="inlineStr">
        <is>
          <t>A 44438-2021</t>
        </is>
      </c>
      <c r="B206" s="1" t="n">
        <v>44435</v>
      </c>
      <c r="C206" s="1" t="n">
        <v>45217</v>
      </c>
      <c r="D206" t="inlineStr">
        <is>
          <t>DALARNAS LÄN</t>
        </is>
      </c>
      <c r="E206" t="inlineStr">
        <is>
          <t>RÄTTVIK</t>
        </is>
      </c>
      <c r="G206" t="n">
        <v>1.9</v>
      </c>
      <c r="H206" t="n">
        <v>1</v>
      </c>
      <c r="I206" t="n">
        <v>1</v>
      </c>
      <c r="J206" t="n">
        <v>1</v>
      </c>
      <c r="K206" t="n">
        <v>0</v>
      </c>
      <c r="L206" t="n">
        <v>0</v>
      </c>
      <c r="M206" t="n">
        <v>0</v>
      </c>
      <c r="N206" t="n">
        <v>0</v>
      </c>
      <c r="O206" t="n">
        <v>1</v>
      </c>
      <c r="P206" t="n">
        <v>0</v>
      </c>
      <c r="Q206" t="n">
        <v>3</v>
      </c>
      <c r="R206" s="2" t="inlineStr">
        <is>
          <t>Garnlav
Gulnål
Fläcknycklar</t>
        </is>
      </c>
      <c r="S206">
        <f>HYPERLINK("https://klasma.github.io/Logging_2031/artfynd/A 44438-2021 artfynd.xlsx", "A 44438-2021")</f>
        <v/>
      </c>
      <c r="T206">
        <f>HYPERLINK("https://klasma.github.io/Logging_2031/kartor/A 44438-2021 karta.png", "A 44438-2021")</f>
        <v/>
      </c>
      <c r="V206">
        <f>HYPERLINK("https://klasma.github.io/Logging_2031/klagomål/A 44438-2021 FSC-klagomål.docx", "A 44438-2021")</f>
        <v/>
      </c>
      <c r="W206">
        <f>HYPERLINK("https://klasma.github.io/Logging_2031/klagomålsmail/A 44438-2021 FSC-klagomål mail.docx", "A 44438-2021")</f>
        <v/>
      </c>
      <c r="X206">
        <f>HYPERLINK("https://klasma.github.io/Logging_2031/tillsyn/A 44438-2021 tillsynsbegäran.docx", "A 44438-2021")</f>
        <v/>
      </c>
      <c r="Y206">
        <f>HYPERLINK("https://klasma.github.io/Logging_2031/tillsynsmail/A 44438-2021 tillsynsbegäran mail.docx", "A 44438-2021")</f>
        <v/>
      </c>
    </row>
    <row r="207" ht="15" customHeight="1">
      <c r="A207" t="inlineStr">
        <is>
          <t>A 46316-2021</t>
        </is>
      </c>
      <c r="B207" s="1" t="n">
        <v>44442</v>
      </c>
      <c r="C207" s="1" t="n">
        <v>45217</v>
      </c>
      <c r="D207" t="inlineStr">
        <is>
          <t>DALARNAS LÄN</t>
        </is>
      </c>
      <c r="E207" t="inlineStr">
        <is>
          <t>VANSBRO</t>
        </is>
      </c>
      <c r="G207" t="n">
        <v>1.4</v>
      </c>
      <c r="H207" t="n">
        <v>0</v>
      </c>
      <c r="I207" t="n">
        <v>1</v>
      </c>
      <c r="J207" t="n">
        <v>2</v>
      </c>
      <c r="K207" t="n">
        <v>0</v>
      </c>
      <c r="L207" t="n">
        <v>0</v>
      </c>
      <c r="M207" t="n">
        <v>0</v>
      </c>
      <c r="N207" t="n">
        <v>0</v>
      </c>
      <c r="O207" t="n">
        <v>2</v>
      </c>
      <c r="P207" t="n">
        <v>0</v>
      </c>
      <c r="Q207" t="n">
        <v>3</v>
      </c>
      <c r="R207" s="2" t="inlineStr">
        <is>
          <t>Garnlav
Mjölig dropplav
Kattfotslav</t>
        </is>
      </c>
      <c r="S207">
        <f>HYPERLINK("https://klasma.github.io/Logging_2021/artfynd/A 46316-2021 artfynd.xlsx", "A 46316-2021")</f>
        <v/>
      </c>
      <c r="T207">
        <f>HYPERLINK("https://klasma.github.io/Logging_2021/kartor/A 46316-2021 karta.png", "A 46316-2021")</f>
        <v/>
      </c>
      <c r="V207">
        <f>HYPERLINK("https://klasma.github.io/Logging_2021/klagomål/A 46316-2021 FSC-klagomål.docx", "A 46316-2021")</f>
        <v/>
      </c>
      <c r="W207">
        <f>HYPERLINK("https://klasma.github.io/Logging_2021/klagomålsmail/A 46316-2021 FSC-klagomål mail.docx", "A 46316-2021")</f>
        <v/>
      </c>
      <c r="X207">
        <f>HYPERLINK("https://klasma.github.io/Logging_2021/tillsyn/A 46316-2021 tillsynsbegäran.docx", "A 46316-2021")</f>
        <v/>
      </c>
      <c r="Y207">
        <f>HYPERLINK("https://klasma.github.io/Logging_2021/tillsynsmail/A 46316-2021 tillsynsbegäran mail.docx", "A 46316-2021")</f>
        <v/>
      </c>
    </row>
    <row r="208" ht="15" customHeight="1">
      <c r="A208" t="inlineStr">
        <is>
          <t>A 51732-2021</t>
        </is>
      </c>
      <c r="B208" s="1" t="n">
        <v>44461</v>
      </c>
      <c r="C208" s="1" t="n">
        <v>45217</v>
      </c>
      <c r="D208" t="inlineStr">
        <is>
          <t>DALARNAS LÄN</t>
        </is>
      </c>
      <c r="E208" t="inlineStr">
        <is>
          <t>ÄLVDALEN</t>
        </is>
      </c>
      <c r="F208" t="inlineStr">
        <is>
          <t>Övriga statliga verk och myndigheter</t>
        </is>
      </c>
      <c r="G208" t="n">
        <v>5</v>
      </c>
      <c r="H208" t="n">
        <v>0</v>
      </c>
      <c r="I208" t="n">
        <v>2</v>
      </c>
      <c r="J208" t="n">
        <v>1</v>
      </c>
      <c r="K208" t="n">
        <v>0</v>
      </c>
      <c r="L208" t="n">
        <v>0</v>
      </c>
      <c r="M208" t="n">
        <v>0</v>
      </c>
      <c r="N208" t="n">
        <v>0</v>
      </c>
      <c r="O208" t="n">
        <v>1</v>
      </c>
      <c r="P208" t="n">
        <v>0</v>
      </c>
      <c r="Q208" t="n">
        <v>3</v>
      </c>
      <c r="R208" s="2" t="inlineStr">
        <is>
          <t>Garnlav
Svavelriska
Vedticka</t>
        </is>
      </c>
      <c r="S208">
        <f>HYPERLINK("https://klasma.github.io/Logging_2039/artfynd/A 51732-2021 artfynd.xlsx", "A 51732-2021")</f>
        <v/>
      </c>
      <c r="T208">
        <f>HYPERLINK("https://klasma.github.io/Logging_2039/kartor/A 51732-2021 karta.png", "A 51732-2021")</f>
        <v/>
      </c>
      <c r="V208">
        <f>HYPERLINK("https://klasma.github.io/Logging_2039/klagomål/A 51732-2021 FSC-klagomål.docx", "A 51732-2021")</f>
        <v/>
      </c>
      <c r="W208">
        <f>HYPERLINK("https://klasma.github.io/Logging_2039/klagomålsmail/A 51732-2021 FSC-klagomål mail.docx", "A 51732-2021")</f>
        <v/>
      </c>
      <c r="X208">
        <f>HYPERLINK("https://klasma.github.io/Logging_2039/tillsyn/A 51732-2021 tillsynsbegäran.docx", "A 51732-2021")</f>
        <v/>
      </c>
      <c r="Y208">
        <f>HYPERLINK("https://klasma.github.io/Logging_2039/tillsynsmail/A 51732-2021 tillsynsbegäran mail.docx", "A 51732-2021")</f>
        <v/>
      </c>
    </row>
    <row r="209" ht="15" customHeight="1">
      <c r="A209" t="inlineStr">
        <is>
          <t>A 54257-2021</t>
        </is>
      </c>
      <c r="B209" s="1" t="n">
        <v>44470</v>
      </c>
      <c r="C209" s="1" t="n">
        <v>45217</v>
      </c>
      <c r="D209" t="inlineStr">
        <is>
          <t>DALARNAS LÄN</t>
        </is>
      </c>
      <c r="E209" t="inlineStr">
        <is>
          <t>ÄLVDALEN</t>
        </is>
      </c>
      <c r="F209" t="inlineStr">
        <is>
          <t>Bergvik skog öst AB</t>
        </is>
      </c>
      <c r="G209" t="n">
        <v>6.8</v>
      </c>
      <c r="H209" t="n">
        <v>0</v>
      </c>
      <c r="I209" t="n">
        <v>1</v>
      </c>
      <c r="J209" t="n">
        <v>2</v>
      </c>
      <c r="K209" t="n">
        <v>0</v>
      </c>
      <c r="L209" t="n">
        <v>0</v>
      </c>
      <c r="M209" t="n">
        <v>0</v>
      </c>
      <c r="N209" t="n">
        <v>0</v>
      </c>
      <c r="O209" t="n">
        <v>2</v>
      </c>
      <c r="P209" t="n">
        <v>0</v>
      </c>
      <c r="Q209" t="n">
        <v>3</v>
      </c>
      <c r="R209" s="2" t="inlineStr">
        <is>
          <t>Motaggsvamp
Mörk kolflarnlav
Dropptaggsvamp</t>
        </is>
      </c>
      <c r="S209">
        <f>HYPERLINK("https://klasma.github.io/Logging_2039/artfynd/A 54257-2021 artfynd.xlsx", "A 54257-2021")</f>
        <v/>
      </c>
      <c r="T209">
        <f>HYPERLINK("https://klasma.github.io/Logging_2039/kartor/A 54257-2021 karta.png", "A 54257-2021")</f>
        <v/>
      </c>
      <c r="V209">
        <f>HYPERLINK("https://klasma.github.io/Logging_2039/klagomål/A 54257-2021 FSC-klagomål.docx", "A 54257-2021")</f>
        <v/>
      </c>
      <c r="W209">
        <f>HYPERLINK("https://klasma.github.io/Logging_2039/klagomålsmail/A 54257-2021 FSC-klagomål mail.docx", "A 54257-2021")</f>
        <v/>
      </c>
      <c r="X209">
        <f>HYPERLINK("https://klasma.github.io/Logging_2039/tillsyn/A 54257-2021 tillsynsbegäran.docx", "A 54257-2021")</f>
        <v/>
      </c>
      <c r="Y209">
        <f>HYPERLINK("https://klasma.github.io/Logging_2039/tillsynsmail/A 54257-2021 tillsynsbegäran mail.docx", "A 54257-2021")</f>
        <v/>
      </c>
    </row>
    <row r="210" ht="15" customHeight="1">
      <c r="A210" t="inlineStr">
        <is>
          <t>A 61997-2021</t>
        </is>
      </c>
      <c r="B210" s="1" t="n">
        <v>44501</v>
      </c>
      <c r="C210" s="1" t="n">
        <v>45217</v>
      </c>
      <c r="D210" t="inlineStr">
        <is>
          <t>DALARNAS LÄN</t>
        </is>
      </c>
      <c r="E210" t="inlineStr">
        <is>
          <t>MALUNG-SÄLEN</t>
        </is>
      </c>
      <c r="F210" t="inlineStr">
        <is>
          <t>Allmännings- och besparingsskogar</t>
        </is>
      </c>
      <c r="G210" t="n">
        <v>19</v>
      </c>
      <c r="H210" t="n">
        <v>1</v>
      </c>
      <c r="I210" t="n">
        <v>1</v>
      </c>
      <c r="J210" t="n">
        <v>2</v>
      </c>
      <c r="K210" t="n">
        <v>0</v>
      </c>
      <c r="L210" t="n">
        <v>0</v>
      </c>
      <c r="M210" t="n">
        <v>0</v>
      </c>
      <c r="N210" t="n">
        <v>0</v>
      </c>
      <c r="O210" t="n">
        <v>2</v>
      </c>
      <c r="P210" t="n">
        <v>0</v>
      </c>
      <c r="Q210" t="n">
        <v>3</v>
      </c>
      <c r="R210" s="2" t="inlineStr">
        <is>
          <t>Blågrå svartspik
Varglav
Dropptaggsvamp</t>
        </is>
      </c>
      <c r="S210">
        <f>HYPERLINK("https://klasma.github.io/Logging_2023/artfynd/A 61997-2021 artfynd.xlsx", "A 61997-2021")</f>
        <v/>
      </c>
      <c r="T210">
        <f>HYPERLINK("https://klasma.github.io/Logging_2023/kartor/A 61997-2021 karta.png", "A 61997-2021")</f>
        <v/>
      </c>
      <c r="V210">
        <f>HYPERLINK("https://klasma.github.io/Logging_2023/klagomål/A 61997-2021 FSC-klagomål.docx", "A 61997-2021")</f>
        <v/>
      </c>
      <c r="W210">
        <f>HYPERLINK("https://klasma.github.io/Logging_2023/klagomålsmail/A 61997-2021 FSC-klagomål mail.docx", "A 61997-2021")</f>
        <v/>
      </c>
      <c r="X210">
        <f>HYPERLINK("https://klasma.github.io/Logging_2023/tillsyn/A 61997-2021 tillsynsbegäran.docx", "A 61997-2021")</f>
        <v/>
      </c>
      <c r="Y210">
        <f>HYPERLINK("https://klasma.github.io/Logging_2023/tillsynsmail/A 61997-2021 tillsynsbegäran mail.docx", "A 61997-2021")</f>
        <v/>
      </c>
    </row>
    <row r="211" ht="15" customHeight="1">
      <c r="A211" t="inlineStr">
        <is>
          <t>A 62054-2021</t>
        </is>
      </c>
      <c r="B211" s="1" t="n">
        <v>44502</v>
      </c>
      <c r="C211" s="1" t="n">
        <v>45217</v>
      </c>
      <c r="D211" t="inlineStr">
        <is>
          <t>DALARNAS LÄN</t>
        </is>
      </c>
      <c r="E211" t="inlineStr">
        <is>
          <t>HEDEMORA</t>
        </is>
      </c>
      <c r="G211" t="n">
        <v>1.5</v>
      </c>
      <c r="H211" t="n">
        <v>1</v>
      </c>
      <c r="I211" t="n">
        <v>0</v>
      </c>
      <c r="J211" t="n">
        <v>2</v>
      </c>
      <c r="K211" t="n">
        <v>1</v>
      </c>
      <c r="L211" t="n">
        <v>0</v>
      </c>
      <c r="M211" t="n">
        <v>0</v>
      </c>
      <c r="N211" t="n">
        <v>0</v>
      </c>
      <c r="O211" t="n">
        <v>3</v>
      </c>
      <c r="P211" t="n">
        <v>1</v>
      </c>
      <c r="Q211" t="n">
        <v>3</v>
      </c>
      <c r="R211" s="2" t="inlineStr">
        <is>
          <t>Knärot
Motaggsvamp
Ullticka</t>
        </is>
      </c>
      <c r="S211">
        <f>HYPERLINK("https://klasma.github.io/Logging_2083/artfynd/A 62054-2021 artfynd.xlsx", "A 62054-2021")</f>
        <v/>
      </c>
      <c r="T211">
        <f>HYPERLINK("https://klasma.github.io/Logging_2083/kartor/A 62054-2021 karta.png", "A 62054-2021")</f>
        <v/>
      </c>
      <c r="U211">
        <f>HYPERLINK("https://klasma.github.io/Logging_2083/knärot/A 62054-2021 karta knärot.png", "A 62054-2021")</f>
        <v/>
      </c>
      <c r="V211">
        <f>HYPERLINK("https://klasma.github.io/Logging_2083/klagomål/A 62054-2021 FSC-klagomål.docx", "A 62054-2021")</f>
        <v/>
      </c>
      <c r="W211">
        <f>HYPERLINK("https://klasma.github.io/Logging_2083/klagomålsmail/A 62054-2021 FSC-klagomål mail.docx", "A 62054-2021")</f>
        <v/>
      </c>
      <c r="X211">
        <f>HYPERLINK("https://klasma.github.io/Logging_2083/tillsyn/A 62054-2021 tillsynsbegäran.docx", "A 62054-2021")</f>
        <v/>
      </c>
      <c r="Y211">
        <f>HYPERLINK("https://klasma.github.io/Logging_2083/tillsynsmail/A 62054-2021 tillsynsbegäran mail.docx", "A 62054-2021")</f>
        <v/>
      </c>
    </row>
    <row r="212" ht="15" customHeight="1">
      <c r="A212" t="inlineStr">
        <is>
          <t>A 65467-2021</t>
        </is>
      </c>
      <c r="B212" s="1" t="n">
        <v>44516</v>
      </c>
      <c r="C212" s="1" t="n">
        <v>45217</v>
      </c>
      <c r="D212" t="inlineStr">
        <is>
          <t>DALARNAS LÄN</t>
        </is>
      </c>
      <c r="E212" t="inlineStr">
        <is>
          <t>ÄLVDALEN</t>
        </is>
      </c>
      <c r="F212" t="inlineStr">
        <is>
          <t>Sveaskog</t>
        </is>
      </c>
      <c r="G212" t="n">
        <v>47</v>
      </c>
      <c r="H212" t="n">
        <v>1</v>
      </c>
      <c r="I212" t="n">
        <v>0</v>
      </c>
      <c r="J212" t="n">
        <v>3</v>
      </c>
      <c r="K212" t="n">
        <v>0</v>
      </c>
      <c r="L212" t="n">
        <v>0</v>
      </c>
      <c r="M212" t="n">
        <v>0</v>
      </c>
      <c r="N212" t="n">
        <v>0</v>
      </c>
      <c r="O212" t="n">
        <v>3</v>
      </c>
      <c r="P212" t="n">
        <v>0</v>
      </c>
      <c r="Q212" t="n">
        <v>3</v>
      </c>
      <c r="R212" s="2" t="inlineStr">
        <is>
          <t>Dvärgbägarlav
Garnlav
Varglav</t>
        </is>
      </c>
      <c r="S212">
        <f>HYPERLINK("https://klasma.github.io/Logging_2039/artfynd/A 65467-2021 artfynd.xlsx", "A 65467-2021")</f>
        <v/>
      </c>
      <c r="T212">
        <f>HYPERLINK("https://klasma.github.io/Logging_2039/kartor/A 65467-2021 karta.png", "A 65467-2021")</f>
        <v/>
      </c>
      <c r="V212">
        <f>HYPERLINK("https://klasma.github.io/Logging_2039/klagomål/A 65467-2021 FSC-klagomål.docx", "A 65467-2021")</f>
        <v/>
      </c>
      <c r="W212">
        <f>HYPERLINK("https://klasma.github.io/Logging_2039/klagomålsmail/A 65467-2021 FSC-klagomål mail.docx", "A 65467-2021")</f>
        <v/>
      </c>
      <c r="X212">
        <f>HYPERLINK("https://klasma.github.io/Logging_2039/tillsyn/A 65467-2021 tillsynsbegäran.docx", "A 65467-2021")</f>
        <v/>
      </c>
      <c r="Y212">
        <f>HYPERLINK("https://klasma.github.io/Logging_2039/tillsynsmail/A 65467-2021 tillsynsbegäran mail.docx", "A 65467-2021")</f>
        <v/>
      </c>
    </row>
    <row r="213" ht="15" customHeight="1">
      <c r="A213" t="inlineStr">
        <is>
          <t>A 69304-2021</t>
        </is>
      </c>
      <c r="B213" s="1" t="n">
        <v>44531</v>
      </c>
      <c r="C213" s="1" t="n">
        <v>45217</v>
      </c>
      <c r="D213" t="inlineStr">
        <is>
          <t>DALARNAS LÄN</t>
        </is>
      </c>
      <c r="E213" t="inlineStr">
        <is>
          <t>AVESTA</t>
        </is>
      </c>
      <c r="G213" t="n">
        <v>8</v>
      </c>
      <c r="H213" t="n">
        <v>1</v>
      </c>
      <c r="I213" t="n">
        <v>2</v>
      </c>
      <c r="J213" t="n">
        <v>0</v>
      </c>
      <c r="K213" t="n">
        <v>1</v>
      </c>
      <c r="L213" t="n">
        <v>0</v>
      </c>
      <c r="M213" t="n">
        <v>0</v>
      </c>
      <c r="N213" t="n">
        <v>0</v>
      </c>
      <c r="O213" t="n">
        <v>1</v>
      </c>
      <c r="P213" t="n">
        <v>1</v>
      </c>
      <c r="Q213" t="n">
        <v>3</v>
      </c>
      <c r="R213" s="2" t="inlineStr">
        <is>
          <t>Knärot
Bronshjon
Vedticka</t>
        </is>
      </c>
      <c r="S213">
        <f>HYPERLINK("https://klasma.github.io/Logging_2084/artfynd/A 69304-2021 artfynd.xlsx", "A 69304-2021")</f>
        <v/>
      </c>
      <c r="T213">
        <f>HYPERLINK("https://klasma.github.io/Logging_2084/kartor/A 69304-2021 karta.png", "A 69304-2021")</f>
        <v/>
      </c>
      <c r="U213">
        <f>HYPERLINK("https://klasma.github.io/Logging_2084/knärot/A 69304-2021 karta knärot.png", "A 69304-2021")</f>
        <v/>
      </c>
      <c r="V213">
        <f>HYPERLINK("https://klasma.github.io/Logging_2084/klagomål/A 69304-2021 FSC-klagomål.docx", "A 69304-2021")</f>
        <v/>
      </c>
      <c r="W213">
        <f>HYPERLINK("https://klasma.github.io/Logging_2084/klagomålsmail/A 69304-2021 FSC-klagomål mail.docx", "A 69304-2021")</f>
        <v/>
      </c>
      <c r="X213">
        <f>HYPERLINK("https://klasma.github.io/Logging_2084/tillsyn/A 69304-2021 tillsynsbegäran.docx", "A 69304-2021")</f>
        <v/>
      </c>
      <c r="Y213">
        <f>HYPERLINK("https://klasma.github.io/Logging_2084/tillsynsmail/A 69304-2021 tillsynsbegäran mail.docx", "A 69304-2021")</f>
        <v/>
      </c>
    </row>
    <row r="214" ht="15" customHeight="1">
      <c r="A214" t="inlineStr">
        <is>
          <t>A 2409-2022</t>
        </is>
      </c>
      <c r="B214" s="1" t="n">
        <v>44579</v>
      </c>
      <c r="C214" s="1" t="n">
        <v>45217</v>
      </c>
      <c r="D214" t="inlineStr">
        <is>
          <t>DALARNAS LÄN</t>
        </is>
      </c>
      <c r="E214" t="inlineStr">
        <is>
          <t>HEDEMORA</t>
        </is>
      </c>
      <c r="G214" t="n">
        <v>3.1</v>
      </c>
      <c r="H214" t="n">
        <v>1</v>
      </c>
      <c r="I214" t="n">
        <v>1</v>
      </c>
      <c r="J214" t="n">
        <v>1</v>
      </c>
      <c r="K214" t="n">
        <v>1</v>
      </c>
      <c r="L214" t="n">
        <v>0</v>
      </c>
      <c r="M214" t="n">
        <v>0</v>
      </c>
      <c r="N214" t="n">
        <v>0</v>
      </c>
      <c r="O214" t="n">
        <v>2</v>
      </c>
      <c r="P214" t="n">
        <v>1</v>
      </c>
      <c r="Q214" t="n">
        <v>3</v>
      </c>
      <c r="R214" s="2" t="inlineStr">
        <is>
          <t>Knärot
Ullticka
Vedticka</t>
        </is>
      </c>
      <c r="S214">
        <f>HYPERLINK("https://klasma.github.io/Logging_2083/artfynd/A 2409-2022 artfynd.xlsx", "A 2409-2022")</f>
        <v/>
      </c>
      <c r="T214">
        <f>HYPERLINK("https://klasma.github.io/Logging_2083/kartor/A 2409-2022 karta.png", "A 2409-2022")</f>
        <v/>
      </c>
      <c r="U214">
        <f>HYPERLINK("https://klasma.github.io/Logging_2083/knärot/A 2409-2022 karta knärot.png", "A 2409-2022")</f>
        <v/>
      </c>
      <c r="V214">
        <f>HYPERLINK("https://klasma.github.io/Logging_2083/klagomål/A 2409-2022 FSC-klagomål.docx", "A 2409-2022")</f>
        <v/>
      </c>
      <c r="W214">
        <f>HYPERLINK("https://klasma.github.io/Logging_2083/klagomålsmail/A 2409-2022 FSC-klagomål mail.docx", "A 2409-2022")</f>
        <v/>
      </c>
      <c r="X214">
        <f>HYPERLINK("https://klasma.github.io/Logging_2083/tillsyn/A 2409-2022 tillsynsbegäran.docx", "A 2409-2022")</f>
        <v/>
      </c>
      <c r="Y214">
        <f>HYPERLINK("https://klasma.github.io/Logging_2083/tillsynsmail/A 2409-2022 tillsynsbegäran mail.docx", "A 2409-2022")</f>
        <v/>
      </c>
    </row>
    <row r="215" ht="15" customHeight="1">
      <c r="A215" t="inlineStr">
        <is>
          <t>A 4177-2022</t>
        </is>
      </c>
      <c r="B215" s="1" t="n">
        <v>44588</v>
      </c>
      <c r="C215" s="1" t="n">
        <v>45217</v>
      </c>
      <c r="D215" t="inlineStr">
        <is>
          <t>DALARNAS LÄN</t>
        </is>
      </c>
      <c r="E215" t="inlineStr">
        <is>
          <t>HEDEMORA</t>
        </is>
      </c>
      <c r="G215" t="n">
        <v>5.3</v>
      </c>
      <c r="H215" t="n">
        <v>2</v>
      </c>
      <c r="I215" t="n">
        <v>1</v>
      </c>
      <c r="J215" t="n">
        <v>0</v>
      </c>
      <c r="K215" t="n">
        <v>1</v>
      </c>
      <c r="L215" t="n">
        <v>0</v>
      </c>
      <c r="M215" t="n">
        <v>0</v>
      </c>
      <c r="N215" t="n">
        <v>0</v>
      </c>
      <c r="O215" t="n">
        <v>1</v>
      </c>
      <c r="P215" t="n">
        <v>1</v>
      </c>
      <c r="Q215" t="n">
        <v>3</v>
      </c>
      <c r="R215" s="2" t="inlineStr">
        <is>
          <t>Knärot
Bronshjon
Fläcknycklar</t>
        </is>
      </c>
      <c r="S215">
        <f>HYPERLINK("https://klasma.github.io/Logging_2083/artfynd/A 4177-2022 artfynd.xlsx", "A 4177-2022")</f>
        <v/>
      </c>
      <c r="T215">
        <f>HYPERLINK("https://klasma.github.io/Logging_2083/kartor/A 4177-2022 karta.png", "A 4177-2022")</f>
        <v/>
      </c>
      <c r="U215">
        <f>HYPERLINK("https://klasma.github.io/Logging_2083/knärot/A 4177-2022 karta knärot.png", "A 4177-2022")</f>
        <v/>
      </c>
      <c r="V215">
        <f>HYPERLINK("https://klasma.github.io/Logging_2083/klagomål/A 4177-2022 FSC-klagomål.docx", "A 4177-2022")</f>
        <v/>
      </c>
      <c r="W215">
        <f>HYPERLINK("https://klasma.github.io/Logging_2083/klagomålsmail/A 4177-2022 FSC-klagomål mail.docx", "A 4177-2022")</f>
        <v/>
      </c>
      <c r="X215">
        <f>HYPERLINK("https://klasma.github.io/Logging_2083/tillsyn/A 4177-2022 tillsynsbegäran.docx", "A 4177-2022")</f>
        <v/>
      </c>
      <c r="Y215">
        <f>HYPERLINK("https://klasma.github.io/Logging_2083/tillsynsmail/A 4177-2022 tillsynsbegäran mail.docx", "A 4177-2022")</f>
        <v/>
      </c>
    </row>
    <row r="216" ht="15" customHeight="1">
      <c r="A216" t="inlineStr">
        <is>
          <t>A 6094-2022</t>
        </is>
      </c>
      <c r="B216" s="1" t="n">
        <v>44599</v>
      </c>
      <c r="C216" s="1" t="n">
        <v>45217</v>
      </c>
      <c r="D216" t="inlineStr">
        <is>
          <t>DALARNAS LÄN</t>
        </is>
      </c>
      <c r="E216" t="inlineStr">
        <is>
          <t>BORLÄNGE</t>
        </is>
      </c>
      <c r="G216" t="n">
        <v>19.7</v>
      </c>
      <c r="H216" t="n">
        <v>1</v>
      </c>
      <c r="I216" t="n">
        <v>2</v>
      </c>
      <c r="J216" t="n">
        <v>1</v>
      </c>
      <c r="K216" t="n">
        <v>0</v>
      </c>
      <c r="L216" t="n">
        <v>0</v>
      </c>
      <c r="M216" t="n">
        <v>0</v>
      </c>
      <c r="N216" t="n">
        <v>0</v>
      </c>
      <c r="O216" t="n">
        <v>1</v>
      </c>
      <c r="P216" t="n">
        <v>0</v>
      </c>
      <c r="Q216" t="n">
        <v>3</v>
      </c>
      <c r="R216" s="2" t="inlineStr">
        <is>
          <t>Utter
Bronshjon
Rödgul trumpetsvamp</t>
        </is>
      </c>
      <c r="S216">
        <f>HYPERLINK("https://klasma.github.io/Logging_2081/artfynd/A 6094-2022 artfynd.xlsx", "A 6094-2022")</f>
        <v/>
      </c>
      <c r="T216">
        <f>HYPERLINK("https://klasma.github.io/Logging_2081/kartor/A 6094-2022 karta.png", "A 6094-2022")</f>
        <v/>
      </c>
      <c r="V216">
        <f>HYPERLINK("https://klasma.github.io/Logging_2081/klagomål/A 6094-2022 FSC-klagomål.docx", "A 6094-2022")</f>
        <v/>
      </c>
      <c r="W216">
        <f>HYPERLINK("https://klasma.github.io/Logging_2081/klagomålsmail/A 6094-2022 FSC-klagomål mail.docx", "A 6094-2022")</f>
        <v/>
      </c>
      <c r="X216">
        <f>HYPERLINK("https://klasma.github.io/Logging_2081/tillsyn/A 6094-2022 tillsynsbegäran.docx", "A 6094-2022")</f>
        <v/>
      </c>
      <c r="Y216">
        <f>HYPERLINK("https://klasma.github.io/Logging_2081/tillsynsmail/A 6094-2022 tillsynsbegäran mail.docx", "A 6094-2022")</f>
        <v/>
      </c>
    </row>
    <row r="217" ht="15" customHeight="1">
      <c r="A217" t="inlineStr">
        <is>
          <t>A 27462-2022</t>
        </is>
      </c>
      <c r="B217" s="1" t="n">
        <v>44742</v>
      </c>
      <c r="C217" s="1" t="n">
        <v>45217</v>
      </c>
      <c r="D217" t="inlineStr">
        <is>
          <t>DALARNAS LÄN</t>
        </is>
      </c>
      <c r="E217" t="inlineStr">
        <is>
          <t>MALUNG-SÄLEN</t>
        </is>
      </c>
      <c r="F217" t="inlineStr">
        <is>
          <t>Bergvik skog väst AB</t>
        </is>
      </c>
      <c r="G217" t="n">
        <v>4.9</v>
      </c>
      <c r="H217" t="n">
        <v>0</v>
      </c>
      <c r="I217" t="n">
        <v>0</v>
      </c>
      <c r="J217" t="n">
        <v>3</v>
      </c>
      <c r="K217" t="n">
        <v>0</v>
      </c>
      <c r="L217" t="n">
        <v>0</v>
      </c>
      <c r="M217" t="n">
        <v>0</v>
      </c>
      <c r="N217" t="n">
        <v>0</v>
      </c>
      <c r="O217" t="n">
        <v>3</v>
      </c>
      <c r="P217" t="n">
        <v>0</v>
      </c>
      <c r="Q217" t="n">
        <v>3</v>
      </c>
      <c r="R217" s="2" t="inlineStr">
        <is>
          <t>Garnlav
Lunglav
Skrovellav</t>
        </is>
      </c>
      <c r="S217">
        <f>HYPERLINK("https://klasma.github.io/Logging_2023/artfynd/A 27462-2022 artfynd.xlsx", "A 27462-2022")</f>
        <v/>
      </c>
      <c r="T217">
        <f>HYPERLINK("https://klasma.github.io/Logging_2023/kartor/A 27462-2022 karta.png", "A 27462-2022")</f>
        <v/>
      </c>
      <c r="V217">
        <f>HYPERLINK("https://klasma.github.io/Logging_2023/klagomål/A 27462-2022 FSC-klagomål.docx", "A 27462-2022")</f>
        <v/>
      </c>
      <c r="W217">
        <f>HYPERLINK("https://klasma.github.io/Logging_2023/klagomålsmail/A 27462-2022 FSC-klagomål mail.docx", "A 27462-2022")</f>
        <v/>
      </c>
      <c r="X217">
        <f>HYPERLINK("https://klasma.github.io/Logging_2023/tillsyn/A 27462-2022 tillsynsbegäran.docx", "A 27462-2022")</f>
        <v/>
      </c>
      <c r="Y217">
        <f>HYPERLINK("https://klasma.github.io/Logging_2023/tillsynsmail/A 27462-2022 tillsynsbegäran mail.docx", "A 27462-2022")</f>
        <v/>
      </c>
    </row>
    <row r="218" ht="15" customHeight="1">
      <c r="A218" t="inlineStr">
        <is>
          <t>A 34878-2022</t>
        </is>
      </c>
      <c r="B218" s="1" t="n">
        <v>44796</v>
      </c>
      <c r="C218" s="1" t="n">
        <v>45217</v>
      </c>
      <c r="D218" t="inlineStr">
        <is>
          <t>DALARNAS LÄN</t>
        </is>
      </c>
      <c r="E218" t="inlineStr">
        <is>
          <t>MALUNG-SÄLEN</t>
        </is>
      </c>
      <c r="G218" t="n">
        <v>0.7</v>
      </c>
      <c r="H218" t="n">
        <v>0</v>
      </c>
      <c r="I218" t="n">
        <v>0</v>
      </c>
      <c r="J218" t="n">
        <v>3</v>
      </c>
      <c r="K218" t="n">
        <v>0</v>
      </c>
      <c r="L218" t="n">
        <v>0</v>
      </c>
      <c r="M218" t="n">
        <v>0</v>
      </c>
      <c r="N218" t="n">
        <v>0</v>
      </c>
      <c r="O218" t="n">
        <v>3</v>
      </c>
      <c r="P218" t="n">
        <v>0</v>
      </c>
      <c r="Q218" t="n">
        <v>3</v>
      </c>
      <c r="R218" s="2" t="inlineStr">
        <is>
          <t>Gammelgransskål
Garnlav
Violettgrå tagellav</t>
        </is>
      </c>
      <c r="S218">
        <f>HYPERLINK("https://klasma.github.io/Logging_2023/artfynd/A 34878-2022 artfynd.xlsx", "A 34878-2022")</f>
        <v/>
      </c>
      <c r="T218">
        <f>HYPERLINK("https://klasma.github.io/Logging_2023/kartor/A 34878-2022 karta.png", "A 34878-2022")</f>
        <v/>
      </c>
      <c r="V218">
        <f>HYPERLINK("https://klasma.github.io/Logging_2023/klagomål/A 34878-2022 FSC-klagomål.docx", "A 34878-2022")</f>
        <v/>
      </c>
      <c r="W218">
        <f>HYPERLINK("https://klasma.github.io/Logging_2023/klagomålsmail/A 34878-2022 FSC-klagomål mail.docx", "A 34878-2022")</f>
        <v/>
      </c>
      <c r="X218">
        <f>HYPERLINK("https://klasma.github.io/Logging_2023/tillsyn/A 34878-2022 tillsynsbegäran.docx", "A 34878-2022")</f>
        <v/>
      </c>
      <c r="Y218">
        <f>HYPERLINK("https://klasma.github.io/Logging_2023/tillsynsmail/A 34878-2022 tillsynsbegäran mail.docx", "A 34878-2022")</f>
        <v/>
      </c>
    </row>
    <row r="219" ht="15" customHeight="1">
      <c r="A219" t="inlineStr">
        <is>
          <t>A 35916-2022</t>
        </is>
      </c>
      <c r="B219" s="1" t="n">
        <v>44802</v>
      </c>
      <c r="C219" s="1" t="n">
        <v>45217</v>
      </c>
      <c r="D219" t="inlineStr">
        <is>
          <t>DALARNAS LÄN</t>
        </is>
      </c>
      <c r="E219" t="inlineStr">
        <is>
          <t>SÄTER</t>
        </is>
      </c>
      <c r="F219" t="inlineStr">
        <is>
          <t>Bergvik skog väst AB</t>
        </is>
      </c>
      <c r="G219" t="n">
        <v>2.6</v>
      </c>
      <c r="H219" t="n">
        <v>1</v>
      </c>
      <c r="I219" t="n">
        <v>0</v>
      </c>
      <c r="J219" t="n">
        <v>1</v>
      </c>
      <c r="K219" t="n">
        <v>1</v>
      </c>
      <c r="L219" t="n">
        <v>0</v>
      </c>
      <c r="M219" t="n">
        <v>0</v>
      </c>
      <c r="N219" t="n">
        <v>0</v>
      </c>
      <c r="O219" t="n">
        <v>2</v>
      </c>
      <c r="P219" t="n">
        <v>1</v>
      </c>
      <c r="Q219" t="n">
        <v>3</v>
      </c>
      <c r="R219" s="2" t="inlineStr">
        <is>
          <t>Slåttergubbe
Slåtterfibbla
Huggorm</t>
        </is>
      </c>
      <c r="S219">
        <f>HYPERLINK("https://klasma.github.io/Logging_2082/artfynd/A 35916-2022 artfynd.xlsx", "A 35916-2022")</f>
        <v/>
      </c>
      <c r="T219">
        <f>HYPERLINK("https://klasma.github.io/Logging_2082/kartor/A 35916-2022 karta.png", "A 35916-2022")</f>
        <v/>
      </c>
      <c r="V219">
        <f>HYPERLINK("https://klasma.github.io/Logging_2082/klagomål/A 35916-2022 FSC-klagomål.docx", "A 35916-2022")</f>
        <v/>
      </c>
      <c r="W219">
        <f>HYPERLINK("https://klasma.github.io/Logging_2082/klagomålsmail/A 35916-2022 FSC-klagomål mail.docx", "A 35916-2022")</f>
        <v/>
      </c>
      <c r="X219">
        <f>HYPERLINK("https://klasma.github.io/Logging_2082/tillsyn/A 35916-2022 tillsynsbegäran.docx", "A 35916-2022")</f>
        <v/>
      </c>
      <c r="Y219">
        <f>HYPERLINK("https://klasma.github.io/Logging_2082/tillsynsmail/A 35916-2022 tillsynsbegäran mail.docx", "A 35916-2022")</f>
        <v/>
      </c>
    </row>
    <row r="220" ht="15" customHeight="1">
      <c r="A220" t="inlineStr">
        <is>
          <t>A 41909-2022</t>
        </is>
      </c>
      <c r="B220" s="1" t="n">
        <v>44830</v>
      </c>
      <c r="C220" s="1" t="n">
        <v>45217</v>
      </c>
      <c r="D220" t="inlineStr">
        <is>
          <t>DALARNAS LÄN</t>
        </is>
      </c>
      <c r="E220" t="inlineStr">
        <is>
          <t>ÄLVDALEN</t>
        </is>
      </c>
      <c r="F220" t="inlineStr">
        <is>
          <t>Sveaskog</t>
        </is>
      </c>
      <c r="G220" t="n">
        <v>3.5</v>
      </c>
      <c r="H220" t="n">
        <v>1</v>
      </c>
      <c r="I220" t="n">
        <v>0</v>
      </c>
      <c r="J220" t="n">
        <v>2</v>
      </c>
      <c r="K220" t="n">
        <v>1</v>
      </c>
      <c r="L220" t="n">
        <v>0</v>
      </c>
      <c r="M220" t="n">
        <v>0</v>
      </c>
      <c r="N220" t="n">
        <v>0</v>
      </c>
      <c r="O220" t="n">
        <v>3</v>
      </c>
      <c r="P220" t="n">
        <v>1</v>
      </c>
      <c r="Q220" t="n">
        <v>3</v>
      </c>
      <c r="R220" s="2" t="inlineStr">
        <is>
          <t>Tajgataggsvamp
Blanksvart spiklav
Talltita</t>
        </is>
      </c>
      <c r="S220">
        <f>HYPERLINK("https://klasma.github.io/Logging_2039/artfynd/A 41909-2022 artfynd.xlsx", "A 41909-2022")</f>
        <v/>
      </c>
      <c r="T220">
        <f>HYPERLINK("https://klasma.github.io/Logging_2039/kartor/A 41909-2022 karta.png", "A 41909-2022")</f>
        <v/>
      </c>
      <c r="V220">
        <f>HYPERLINK("https://klasma.github.io/Logging_2039/klagomål/A 41909-2022 FSC-klagomål.docx", "A 41909-2022")</f>
        <v/>
      </c>
      <c r="W220">
        <f>HYPERLINK("https://klasma.github.io/Logging_2039/klagomålsmail/A 41909-2022 FSC-klagomål mail.docx", "A 41909-2022")</f>
        <v/>
      </c>
      <c r="X220">
        <f>HYPERLINK("https://klasma.github.io/Logging_2039/tillsyn/A 41909-2022 tillsynsbegäran.docx", "A 41909-2022")</f>
        <v/>
      </c>
      <c r="Y220">
        <f>HYPERLINK("https://klasma.github.io/Logging_2039/tillsynsmail/A 41909-2022 tillsynsbegäran mail.docx", "A 41909-2022")</f>
        <v/>
      </c>
    </row>
    <row r="221" ht="15" customHeight="1">
      <c r="A221" t="inlineStr">
        <is>
          <t>A 41919-2022</t>
        </is>
      </c>
      <c r="B221" s="1" t="n">
        <v>44830</v>
      </c>
      <c r="C221" s="1" t="n">
        <v>45217</v>
      </c>
      <c r="D221" t="inlineStr">
        <is>
          <t>DALARNAS LÄN</t>
        </is>
      </c>
      <c r="E221" t="inlineStr">
        <is>
          <t>ÄLVDALEN</t>
        </is>
      </c>
      <c r="F221" t="inlineStr">
        <is>
          <t>Sveaskog</t>
        </is>
      </c>
      <c r="G221" t="n">
        <v>0.9</v>
      </c>
      <c r="H221" t="n">
        <v>0</v>
      </c>
      <c r="I221" t="n">
        <v>1</v>
      </c>
      <c r="J221" t="n">
        <v>1</v>
      </c>
      <c r="K221" t="n">
        <v>1</v>
      </c>
      <c r="L221" t="n">
        <v>0</v>
      </c>
      <c r="M221" t="n">
        <v>0</v>
      </c>
      <c r="N221" t="n">
        <v>0</v>
      </c>
      <c r="O221" t="n">
        <v>2</v>
      </c>
      <c r="P221" t="n">
        <v>1</v>
      </c>
      <c r="Q221" t="n">
        <v>3</v>
      </c>
      <c r="R221" s="2" t="inlineStr">
        <is>
          <t>Gräddporing
Blanksvart spiklav
Vedticka</t>
        </is>
      </c>
      <c r="S221">
        <f>HYPERLINK("https://klasma.github.io/Logging_2039/artfynd/A 41919-2022 artfynd.xlsx", "A 41919-2022")</f>
        <v/>
      </c>
      <c r="T221">
        <f>HYPERLINK("https://klasma.github.io/Logging_2039/kartor/A 41919-2022 karta.png", "A 41919-2022")</f>
        <v/>
      </c>
      <c r="V221">
        <f>HYPERLINK("https://klasma.github.io/Logging_2039/klagomål/A 41919-2022 FSC-klagomål.docx", "A 41919-2022")</f>
        <v/>
      </c>
      <c r="W221">
        <f>HYPERLINK("https://klasma.github.io/Logging_2039/klagomålsmail/A 41919-2022 FSC-klagomål mail.docx", "A 41919-2022")</f>
        <v/>
      </c>
      <c r="X221">
        <f>HYPERLINK("https://klasma.github.io/Logging_2039/tillsyn/A 41919-2022 tillsynsbegäran.docx", "A 41919-2022")</f>
        <v/>
      </c>
      <c r="Y221">
        <f>HYPERLINK("https://klasma.github.io/Logging_2039/tillsynsmail/A 41919-2022 tillsynsbegäran mail.docx", "A 41919-2022")</f>
        <v/>
      </c>
    </row>
    <row r="222" ht="15" customHeight="1">
      <c r="A222" t="inlineStr">
        <is>
          <t>A 41921-2022</t>
        </is>
      </c>
      <c r="B222" s="1" t="n">
        <v>44830</v>
      </c>
      <c r="C222" s="1" t="n">
        <v>45217</v>
      </c>
      <c r="D222" t="inlineStr">
        <is>
          <t>DALARNAS LÄN</t>
        </is>
      </c>
      <c r="E222" t="inlineStr">
        <is>
          <t>ÄLVDALEN</t>
        </is>
      </c>
      <c r="F222" t="inlineStr">
        <is>
          <t>Sveaskog</t>
        </is>
      </c>
      <c r="G222" t="n">
        <v>5.4</v>
      </c>
      <c r="H222" t="n">
        <v>1</v>
      </c>
      <c r="I222" t="n">
        <v>0</v>
      </c>
      <c r="J222" t="n">
        <v>3</v>
      </c>
      <c r="K222" t="n">
        <v>0</v>
      </c>
      <c r="L222" t="n">
        <v>0</v>
      </c>
      <c r="M222" t="n">
        <v>0</v>
      </c>
      <c r="N222" t="n">
        <v>0</v>
      </c>
      <c r="O222" t="n">
        <v>3</v>
      </c>
      <c r="P222" t="n">
        <v>0</v>
      </c>
      <c r="Q222" t="n">
        <v>3</v>
      </c>
      <c r="R222" s="2" t="inlineStr">
        <is>
          <t>Blågrå svartspik
Tretåig hackspett
Vedskivlav</t>
        </is>
      </c>
      <c r="S222">
        <f>HYPERLINK("https://klasma.github.io/Logging_2039/artfynd/A 41921-2022 artfynd.xlsx", "A 41921-2022")</f>
        <v/>
      </c>
      <c r="T222">
        <f>HYPERLINK("https://klasma.github.io/Logging_2039/kartor/A 41921-2022 karta.png", "A 41921-2022")</f>
        <v/>
      </c>
      <c r="V222">
        <f>HYPERLINK("https://klasma.github.io/Logging_2039/klagomål/A 41921-2022 FSC-klagomål.docx", "A 41921-2022")</f>
        <v/>
      </c>
      <c r="W222">
        <f>HYPERLINK("https://klasma.github.io/Logging_2039/klagomålsmail/A 41921-2022 FSC-klagomål mail.docx", "A 41921-2022")</f>
        <v/>
      </c>
      <c r="X222">
        <f>HYPERLINK("https://klasma.github.io/Logging_2039/tillsyn/A 41921-2022 tillsynsbegäran.docx", "A 41921-2022")</f>
        <v/>
      </c>
      <c r="Y222">
        <f>HYPERLINK("https://klasma.github.io/Logging_2039/tillsynsmail/A 41921-2022 tillsynsbegäran mail.docx", "A 41921-2022")</f>
        <v/>
      </c>
    </row>
    <row r="223" ht="15" customHeight="1">
      <c r="A223" t="inlineStr">
        <is>
          <t>A 51505-2022</t>
        </is>
      </c>
      <c r="B223" s="1" t="n">
        <v>44869</v>
      </c>
      <c r="C223" s="1" t="n">
        <v>45217</v>
      </c>
      <c r="D223" t="inlineStr">
        <is>
          <t>DALARNAS LÄN</t>
        </is>
      </c>
      <c r="E223" t="inlineStr">
        <is>
          <t>LEKSAND</t>
        </is>
      </c>
      <c r="F223" t="inlineStr">
        <is>
          <t>Bergvik skog väst AB</t>
        </is>
      </c>
      <c r="G223" t="n">
        <v>1.3</v>
      </c>
      <c r="H223" t="n">
        <v>0</v>
      </c>
      <c r="I223" t="n">
        <v>1</v>
      </c>
      <c r="J223" t="n">
        <v>2</v>
      </c>
      <c r="K223" t="n">
        <v>0</v>
      </c>
      <c r="L223" t="n">
        <v>0</v>
      </c>
      <c r="M223" t="n">
        <v>0</v>
      </c>
      <c r="N223" t="n">
        <v>0</v>
      </c>
      <c r="O223" t="n">
        <v>2</v>
      </c>
      <c r="P223" t="n">
        <v>0</v>
      </c>
      <c r="Q223" t="n">
        <v>3</v>
      </c>
      <c r="R223" s="2" t="inlineStr">
        <is>
          <t>Garnlav
Motaggsvamp
Bronshjon</t>
        </is>
      </c>
      <c r="S223">
        <f>HYPERLINK("https://klasma.github.io/Logging_2029/artfynd/A 51505-2022 artfynd.xlsx", "A 51505-2022")</f>
        <v/>
      </c>
      <c r="T223">
        <f>HYPERLINK("https://klasma.github.io/Logging_2029/kartor/A 51505-2022 karta.png", "A 51505-2022")</f>
        <v/>
      </c>
      <c r="V223">
        <f>HYPERLINK("https://klasma.github.io/Logging_2029/klagomål/A 51505-2022 FSC-klagomål.docx", "A 51505-2022")</f>
        <v/>
      </c>
      <c r="W223">
        <f>HYPERLINK("https://klasma.github.io/Logging_2029/klagomålsmail/A 51505-2022 FSC-klagomål mail.docx", "A 51505-2022")</f>
        <v/>
      </c>
      <c r="X223">
        <f>HYPERLINK("https://klasma.github.io/Logging_2029/tillsyn/A 51505-2022 tillsynsbegäran.docx", "A 51505-2022")</f>
        <v/>
      </c>
      <c r="Y223">
        <f>HYPERLINK("https://klasma.github.io/Logging_2029/tillsynsmail/A 51505-2022 tillsynsbegäran mail.docx", "A 51505-2022")</f>
        <v/>
      </c>
    </row>
    <row r="224" ht="15" customHeight="1">
      <c r="A224" t="inlineStr">
        <is>
          <t>A 51961-2022</t>
        </is>
      </c>
      <c r="B224" s="1" t="n">
        <v>44872</v>
      </c>
      <c r="C224" s="1" t="n">
        <v>45217</v>
      </c>
      <c r="D224" t="inlineStr">
        <is>
          <t>DALARNAS LÄN</t>
        </is>
      </c>
      <c r="E224" t="inlineStr">
        <is>
          <t>FALUN</t>
        </is>
      </c>
      <c r="F224" t="inlineStr">
        <is>
          <t>Bergvik skog väst AB</t>
        </is>
      </c>
      <c r="G224" t="n">
        <v>2.9</v>
      </c>
      <c r="H224" t="n">
        <v>1</v>
      </c>
      <c r="I224" t="n">
        <v>2</v>
      </c>
      <c r="J224" t="n">
        <v>1</v>
      </c>
      <c r="K224" t="n">
        <v>0</v>
      </c>
      <c r="L224" t="n">
        <v>0</v>
      </c>
      <c r="M224" t="n">
        <v>0</v>
      </c>
      <c r="N224" t="n">
        <v>0</v>
      </c>
      <c r="O224" t="n">
        <v>1</v>
      </c>
      <c r="P224" t="n">
        <v>0</v>
      </c>
      <c r="Q224" t="n">
        <v>3</v>
      </c>
      <c r="R224" s="2" t="inlineStr">
        <is>
          <t>Spillkråka
Bronshjon
Mindre märgborre</t>
        </is>
      </c>
      <c r="S224">
        <f>HYPERLINK("https://klasma.github.io/Logging_2080/artfynd/A 51961-2022 artfynd.xlsx", "A 51961-2022")</f>
        <v/>
      </c>
      <c r="T224">
        <f>HYPERLINK("https://klasma.github.io/Logging_2080/kartor/A 51961-2022 karta.png", "A 51961-2022")</f>
        <v/>
      </c>
      <c r="V224">
        <f>HYPERLINK("https://klasma.github.io/Logging_2080/klagomål/A 51961-2022 FSC-klagomål.docx", "A 51961-2022")</f>
        <v/>
      </c>
      <c r="W224">
        <f>HYPERLINK("https://klasma.github.io/Logging_2080/klagomålsmail/A 51961-2022 FSC-klagomål mail.docx", "A 51961-2022")</f>
        <v/>
      </c>
      <c r="X224">
        <f>HYPERLINK("https://klasma.github.io/Logging_2080/tillsyn/A 51961-2022 tillsynsbegäran.docx", "A 51961-2022")</f>
        <v/>
      </c>
      <c r="Y224">
        <f>HYPERLINK("https://klasma.github.io/Logging_2080/tillsynsmail/A 51961-2022 tillsynsbegäran mail.docx", "A 51961-2022")</f>
        <v/>
      </c>
    </row>
    <row r="225" ht="15" customHeight="1">
      <c r="A225" t="inlineStr">
        <is>
          <t>A 60133-2022</t>
        </is>
      </c>
      <c r="B225" s="1" t="n">
        <v>44909</v>
      </c>
      <c r="C225" s="1" t="n">
        <v>45217</v>
      </c>
      <c r="D225" t="inlineStr">
        <is>
          <t>DALARNAS LÄN</t>
        </is>
      </c>
      <c r="E225" t="inlineStr">
        <is>
          <t>RÄTTVIK</t>
        </is>
      </c>
      <c r="F225" t="inlineStr">
        <is>
          <t>Sveaskog</t>
        </is>
      </c>
      <c r="G225" t="n">
        <v>2.6</v>
      </c>
      <c r="H225" t="n">
        <v>1</v>
      </c>
      <c r="I225" t="n">
        <v>1</v>
      </c>
      <c r="J225" t="n">
        <v>0</v>
      </c>
      <c r="K225" t="n">
        <v>1</v>
      </c>
      <c r="L225" t="n">
        <v>0</v>
      </c>
      <c r="M225" t="n">
        <v>0</v>
      </c>
      <c r="N225" t="n">
        <v>0</v>
      </c>
      <c r="O225" t="n">
        <v>1</v>
      </c>
      <c r="P225" t="n">
        <v>1</v>
      </c>
      <c r="Q225" t="n">
        <v>3</v>
      </c>
      <c r="R225" s="2" t="inlineStr">
        <is>
          <t>Spadskinn
Mindre märgborre
Revlummer</t>
        </is>
      </c>
      <c r="S225">
        <f>HYPERLINK("https://klasma.github.io/Logging_2031/artfynd/A 60133-2022 artfynd.xlsx", "A 60133-2022")</f>
        <v/>
      </c>
      <c r="T225">
        <f>HYPERLINK("https://klasma.github.io/Logging_2031/kartor/A 60133-2022 karta.png", "A 60133-2022")</f>
        <v/>
      </c>
      <c r="V225">
        <f>HYPERLINK("https://klasma.github.io/Logging_2031/klagomål/A 60133-2022 FSC-klagomål.docx", "A 60133-2022")</f>
        <v/>
      </c>
      <c r="W225">
        <f>HYPERLINK("https://klasma.github.io/Logging_2031/klagomålsmail/A 60133-2022 FSC-klagomål mail.docx", "A 60133-2022")</f>
        <v/>
      </c>
      <c r="X225">
        <f>HYPERLINK("https://klasma.github.io/Logging_2031/tillsyn/A 60133-2022 tillsynsbegäran.docx", "A 60133-2022")</f>
        <v/>
      </c>
      <c r="Y225">
        <f>HYPERLINK("https://klasma.github.io/Logging_2031/tillsynsmail/A 60133-2022 tillsynsbegäran mail.docx", "A 60133-2022")</f>
        <v/>
      </c>
    </row>
    <row r="226" ht="15" customHeight="1">
      <c r="A226" t="inlineStr">
        <is>
          <t>A 60127-2022</t>
        </is>
      </c>
      <c r="B226" s="1" t="n">
        <v>44909</v>
      </c>
      <c r="C226" s="1" t="n">
        <v>45217</v>
      </c>
      <c r="D226" t="inlineStr">
        <is>
          <t>DALARNAS LÄN</t>
        </is>
      </c>
      <c r="E226" t="inlineStr">
        <is>
          <t>RÄTTVIK</t>
        </is>
      </c>
      <c r="F226" t="inlineStr">
        <is>
          <t>Sveaskog</t>
        </is>
      </c>
      <c r="G226" t="n">
        <v>0.9</v>
      </c>
      <c r="H226" t="n">
        <v>0</v>
      </c>
      <c r="I226" t="n">
        <v>0</v>
      </c>
      <c r="J226" t="n">
        <v>3</v>
      </c>
      <c r="K226" t="n">
        <v>0</v>
      </c>
      <c r="L226" t="n">
        <v>0</v>
      </c>
      <c r="M226" t="n">
        <v>0</v>
      </c>
      <c r="N226" t="n">
        <v>0</v>
      </c>
      <c r="O226" t="n">
        <v>3</v>
      </c>
      <c r="P226" t="n">
        <v>0</v>
      </c>
      <c r="Q226" t="n">
        <v>3</v>
      </c>
      <c r="R226" s="2" t="inlineStr">
        <is>
          <t>Kolflarnlav
Mörk kolflarnlav
Vedflamlav</t>
        </is>
      </c>
      <c r="S226">
        <f>HYPERLINK("https://klasma.github.io/Logging_2031/artfynd/A 60127-2022 artfynd.xlsx", "A 60127-2022")</f>
        <v/>
      </c>
      <c r="T226">
        <f>HYPERLINK("https://klasma.github.io/Logging_2031/kartor/A 60127-2022 karta.png", "A 60127-2022")</f>
        <v/>
      </c>
      <c r="V226">
        <f>HYPERLINK("https://klasma.github.io/Logging_2031/klagomål/A 60127-2022 FSC-klagomål.docx", "A 60127-2022")</f>
        <v/>
      </c>
      <c r="W226">
        <f>HYPERLINK("https://klasma.github.io/Logging_2031/klagomålsmail/A 60127-2022 FSC-klagomål mail.docx", "A 60127-2022")</f>
        <v/>
      </c>
      <c r="X226">
        <f>HYPERLINK("https://klasma.github.io/Logging_2031/tillsyn/A 60127-2022 tillsynsbegäran.docx", "A 60127-2022")</f>
        <v/>
      </c>
      <c r="Y226">
        <f>HYPERLINK("https://klasma.github.io/Logging_2031/tillsynsmail/A 60127-2022 tillsynsbegäran mail.docx", "A 60127-2022")</f>
        <v/>
      </c>
    </row>
    <row r="227" ht="15" customHeight="1">
      <c r="A227" t="inlineStr">
        <is>
          <t>A 62482-2022</t>
        </is>
      </c>
      <c r="B227" s="1" t="n">
        <v>44924</v>
      </c>
      <c r="C227" s="1" t="n">
        <v>45217</v>
      </c>
      <c r="D227" t="inlineStr">
        <is>
          <t>DALARNAS LÄN</t>
        </is>
      </c>
      <c r="E227" t="inlineStr">
        <is>
          <t>FALUN</t>
        </is>
      </c>
      <c r="G227" t="n">
        <v>22.7</v>
      </c>
      <c r="H227" t="n">
        <v>0</v>
      </c>
      <c r="I227" t="n">
        <v>2</v>
      </c>
      <c r="J227" t="n">
        <v>1</v>
      </c>
      <c r="K227" t="n">
        <v>0</v>
      </c>
      <c r="L227" t="n">
        <v>0</v>
      </c>
      <c r="M227" t="n">
        <v>0</v>
      </c>
      <c r="N227" t="n">
        <v>0</v>
      </c>
      <c r="O227" t="n">
        <v>1</v>
      </c>
      <c r="P227" t="n">
        <v>0</v>
      </c>
      <c r="Q227" t="n">
        <v>3</v>
      </c>
      <c r="R227" s="2" t="inlineStr">
        <is>
          <t>Garnlav
Bronshjon
Mindre märgborre</t>
        </is>
      </c>
      <c r="S227">
        <f>HYPERLINK("https://klasma.github.io/Logging_2080/artfynd/A 62482-2022 artfynd.xlsx", "A 62482-2022")</f>
        <v/>
      </c>
      <c r="T227">
        <f>HYPERLINK("https://klasma.github.io/Logging_2080/kartor/A 62482-2022 karta.png", "A 62482-2022")</f>
        <v/>
      </c>
      <c r="V227">
        <f>HYPERLINK("https://klasma.github.io/Logging_2080/klagomål/A 62482-2022 FSC-klagomål.docx", "A 62482-2022")</f>
        <v/>
      </c>
      <c r="W227">
        <f>HYPERLINK("https://klasma.github.io/Logging_2080/klagomålsmail/A 62482-2022 FSC-klagomål mail.docx", "A 62482-2022")</f>
        <v/>
      </c>
      <c r="X227">
        <f>HYPERLINK("https://klasma.github.io/Logging_2080/tillsyn/A 62482-2022 tillsynsbegäran.docx", "A 62482-2022")</f>
        <v/>
      </c>
      <c r="Y227">
        <f>HYPERLINK("https://klasma.github.io/Logging_2080/tillsynsmail/A 62482-2022 tillsynsbegäran mail.docx", "A 62482-2022")</f>
        <v/>
      </c>
    </row>
    <row r="228" ht="15" customHeight="1">
      <c r="A228" t="inlineStr">
        <is>
          <t>A 5484-2023</t>
        </is>
      </c>
      <c r="B228" s="1" t="n">
        <v>44957</v>
      </c>
      <c r="C228" s="1" t="n">
        <v>45217</v>
      </c>
      <c r="D228" t="inlineStr">
        <is>
          <t>DALARNAS LÄN</t>
        </is>
      </c>
      <c r="E228" t="inlineStr">
        <is>
          <t>MORA</t>
        </is>
      </c>
      <c r="F228" t="inlineStr">
        <is>
          <t>Allmännings- och besparingsskogar</t>
        </is>
      </c>
      <c r="G228" t="n">
        <v>14.9</v>
      </c>
      <c r="H228" t="n">
        <v>0</v>
      </c>
      <c r="I228" t="n">
        <v>1</v>
      </c>
      <c r="J228" t="n">
        <v>0</v>
      </c>
      <c r="K228" t="n">
        <v>2</v>
      </c>
      <c r="L228" t="n">
        <v>0</v>
      </c>
      <c r="M228" t="n">
        <v>0</v>
      </c>
      <c r="N228" t="n">
        <v>0</v>
      </c>
      <c r="O228" t="n">
        <v>2</v>
      </c>
      <c r="P228" t="n">
        <v>2</v>
      </c>
      <c r="Q228" t="n">
        <v>3</v>
      </c>
      <c r="R228" s="2" t="inlineStr">
        <is>
          <t>Raggbock
Tallbarksvartbagge
Mindre märgborre</t>
        </is>
      </c>
      <c r="S228">
        <f>HYPERLINK("https://klasma.github.io/Logging_2062/artfynd/A 5484-2023 artfynd.xlsx", "A 5484-2023")</f>
        <v/>
      </c>
      <c r="T228">
        <f>HYPERLINK("https://klasma.github.io/Logging_2062/kartor/A 5484-2023 karta.png", "A 5484-2023")</f>
        <v/>
      </c>
      <c r="V228">
        <f>HYPERLINK("https://klasma.github.io/Logging_2062/klagomål/A 5484-2023 FSC-klagomål.docx", "A 5484-2023")</f>
        <v/>
      </c>
      <c r="W228">
        <f>HYPERLINK("https://klasma.github.io/Logging_2062/klagomålsmail/A 5484-2023 FSC-klagomål mail.docx", "A 5484-2023")</f>
        <v/>
      </c>
      <c r="X228">
        <f>HYPERLINK("https://klasma.github.io/Logging_2062/tillsyn/A 5484-2023 tillsynsbegäran.docx", "A 5484-2023")</f>
        <v/>
      </c>
      <c r="Y228">
        <f>HYPERLINK("https://klasma.github.io/Logging_2062/tillsynsmail/A 5484-2023 tillsynsbegäran mail.docx", "A 5484-2023")</f>
        <v/>
      </c>
    </row>
    <row r="229" ht="15" customHeight="1">
      <c r="A229" t="inlineStr">
        <is>
          <t>A 5045-2023</t>
        </is>
      </c>
      <c r="B229" s="1" t="n">
        <v>44958</v>
      </c>
      <c r="C229" s="1" t="n">
        <v>45217</v>
      </c>
      <c r="D229" t="inlineStr">
        <is>
          <t>DALARNAS LÄN</t>
        </is>
      </c>
      <c r="E229" t="inlineStr">
        <is>
          <t>GAGNEF</t>
        </is>
      </c>
      <c r="G229" t="n">
        <v>1.9</v>
      </c>
      <c r="H229" t="n">
        <v>0</v>
      </c>
      <c r="I229" t="n">
        <v>0</v>
      </c>
      <c r="J229" t="n">
        <v>2</v>
      </c>
      <c r="K229" t="n">
        <v>1</v>
      </c>
      <c r="L229" t="n">
        <v>0</v>
      </c>
      <c r="M229" t="n">
        <v>0</v>
      </c>
      <c r="N229" t="n">
        <v>0</v>
      </c>
      <c r="O229" t="n">
        <v>3</v>
      </c>
      <c r="P229" t="n">
        <v>1</v>
      </c>
      <c r="Q229" t="n">
        <v>3</v>
      </c>
      <c r="R229" s="2" t="inlineStr">
        <is>
          <t>Rynkskinn
Rosenticka
Ullticka</t>
        </is>
      </c>
      <c r="S229">
        <f>HYPERLINK("https://klasma.github.io/Logging_2026/artfynd/A 5045-2023 artfynd.xlsx", "A 5045-2023")</f>
        <v/>
      </c>
      <c r="T229">
        <f>HYPERLINK("https://klasma.github.io/Logging_2026/kartor/A 5045-2023 karta.png", "A 5045-2023")</f>
        <v/>
      </c>
      <c r="V229">
        <f>HYPERLINK("https://klasma.github.io/Logging_2026/klagomål/A 5045-2023 FSC-klagomål.docx", "A 5045-2023")</f>
        <v/>
      </c>
      <c r="W229">
        <f>HYPERLINK("https://klasma.github.io/Logging_2026/klagomålsmail/A 5045-2023 FSC-klagomål mail.docx", "A 5045-2023")</f>
        <v/>
      </c>
      <c r="X229">
        <f>HYPERLINK("https://klasma.github.io/Logging_2026/tillsyn/A 5045-2023 tillsynsbegäran.docx", "A 5045-2023")</f>
        <v/>
      </c>
      <c r="Y229">
        <f>HYPERLINK("https://klasma.github.io/Logging_2026/tillsynsmail/A 5045-2023 tillsynsbegäran mail.docx", "A 5045-2023")</f>
        <v/>
      </c>
    </row>
    <row r="230" ht="15" customHeight="1">
      <c r="A230" t="inlineStr">
        <is>
          <t>A 16311-2023</t>
        </is>
      </c>
      <c r="B230" s="1" t="n">
        <v>45028</v>
      </c>
      <c r="C230" s="1" t="n">
        <v>45217</v>
      </c>
      <c r="D230" t="inlineStr">
        <is>
          <t>DALARNAS LÄN</t>
        </is>
      </c>
      <c r="E230" t="inlineStr">
        <is>
          <t>FALUN</t>
        </is>
      </c>
      <c r="G230" t="n">
        <v>3.7</v>
      </c>
      <c r="H230" t="n">
        <v>0</v>
      </c>
      <c r="I230" t="n">
        <v>3</v>
      </c>
      <c r="J230" t="n">
        <v>0</v>
      </c>
      <c r="K230" t="n">
        <v>0</v>
      </c>
      <c r="L230" t="n">
        <v>0</v>
      </c>
      <c r="M230" t="n">
        <v>0</v>
      </c>
      <c r="N230" t="n">
        <v>0</v>
      </c>
      <c r="O230" t="n">
        <v>0</v>
      </c>
      <c r="P230" t="n">
        <v>0</v>
      </c>
      <c r="Q230" t="n">
        <v>3</v>
      </c>
      <c r="R230" s="2" t="inlineStr">
        <is>
          <t>Bollvitmossa
Dropptaggsvamp
Mindre märgborre</t>
        </is>
      </c>
      <c r="S230">
        <f>HYPERLINK("https://klasma.github.io/Logging_2080/artfynd/A 16311-2023 artfynd.xlsx", "A 16311-2023")</f>
        <v/>
      </c>
      <c r="T230">
        <f>HYPERLINK("https://klasma.github.io/Logging_2080/kartor/A 16311-2023 karta.png", "A 16311-2023")</f>
        <v/>
      </c>
      <c r="V230">
        <f>HYPERLINK("https://klasma.github.io/Logging_2080/klagomål/A 16311-2023 FSC-klagomål.docx", "A 16311-2023")</f>
        <v/>
      </c>
      <c r="W230">
        <f>HYPERLINK("https://klasma.github.io/Logging_2080/klagomålsmail/A 16311-2023 FSC-klagomål mail.docx", "A 16311-2023")</f>
        <v/>
      </c>
      <c r="X230">
        <f>HYPERLINK("https://klasma.github.io/Logging_2080/tillsyn/A 16311-2023 tillsynsbegäran.docx", "A 16311-2023")</f>
        <v/>
      </c>
      <c r="Y230">
        <f>HYPERLINK("https://klasma.github.io/Logging_2080/tillsynsmail/A 16311-2023 tillsynsbegäran mail.docx", "A 16311-2023")</f>
        <v/>
      </c>
    </row>
    <row r="231" ht="15" customHeight="1">
      <c r="A231" t="inlineStr">
        <is>
          <t>A 17137-2023</t>
        </is>
      </c>
      <c r="B231" s="1" t="n">
        <v>45034</v>
      </c>
      <c r="C231" s="1" t="n">
        <v>45217</v>
      </c>
      <c r="D231" t="inlineStr">
        <is>
          <t>DALARNAS LÄN</t>
        </is>
      </c>
      <c r="E231" t="inlineStr">
        <is>
          <t>FALUN</t>
        </is>
      </c>
      <c r="G231" t="n">
        <v>6</v>
      </c>
      <c r="H231" t="n">
        <v>1</v>
      </c>
      <c r="I231" t="n">
        <v>1</v>
      </c>
      <c r="J231" t="n">
        <v>1</v>
      </c>
      <c r="K231" t="n">
        <v>1</v>
      </c>
      <c r="L231" t="n">
        <v>0</v>
      </c>
      <c r="M231" t="n">
        <v>0</v>
      </c>
      <c r="N231" t="n">
        <v>0</v>
      </c>
      <c r="O231" t="n">
        <v>2</v>
      </c>
      <c r="P231" t="n">
        <v>1</v>
      </c>
      <c r="Q231" t="n">
        <v>3</v>
      </c>
      <c r="R231" s="2" t="inlineStr">
        <is>
          <t>Knärot
Garnlav
Dropptaggsvamp</t>
        </is>
      </c>
      <c r="S231">
        <f>HYPERLINK("https://klasma.github.io/Logging_2080/artfynd/A 17137-2023 artfynd.xlsx", "A 17137-2023")</f>
        <v/>
      </c>
      <c r="T231">
        <f>HYPERLINK("https://klasma.github.io/Logging_2080/kartor/A 17137-2023 karta.png", "A 17137-2023")</f>
        <v/>
      </c>
      <c r="U231">
        <f>HYPERLINK("https://klasma.github.io/Logging_2080/knärot/A 17137-2023 karta knärot.png", "A 17137-2023")</f>
        <v/>
      </c>
      <c r="V231">
        <f>HYPERLINK("https://klasma.github.io/Logging_2080/klagomål/A 17137-2023 FSC-klagomål.docx", "A 17137-2023")</f>
        <v/>
      </c>
      <c r="W231">
        <f>HYPERLINK("https://klasma.github.io/Logging_2080/klagomålsmail/A 17137-2023 FSC-klagomål mail.docx", "A 17137-2023")</f>
        <v/>
      </c>
      <c r="X231">
        <f>HYPERLINK("https://klasma.github.io/Logging_2080/tillsyn/A 17137-2023 tillsynsbegäran.docx", "A 17137-2023")</f>
        <v/>
      </c>
      <c r="Y231">
        <f>HYPERLINK("https://klasma.github.io/Logging_2080/tillsynsmail/A 17137-2023 tillsynsbegäran mail.docx", "A 17137-2023")</f>
        <v/>
      </c>
    </row>
    <row r="232" ht="15" customHeight="1">
      <c r="A232" t="inlineStr">
        <is>
          <t>A 20403-2023</t>
        </is>
      </c>
      <c r="B232" s="1" t="n">
        <v>45056</v>
      </c>
      <c r="C232" s="1" t="n">
        <v>45217</v>
      </c>
      <c r="D232" t="inlineStr">
        <is>
          <t>DALARNAS LÄN</t>
        </is>
      </c>
      <c r="E232" t="inlineStr">
        <is>
          <t>GAGNEF</t>
        </is>
      </c>
      <c r="G232" t="n">
        <v>9.6</v>
      </c>
      <c r="H232" t="n">
        <v>2</v>
      </c>
      <c r="I232" t="n">
        <v>2</v>
      </c>
      <c r="J232" t="n">
        <v>0</v>
      </c>
      <c r="K232" t="n">
        <v>0</v>
      </c>
      <c r="L232" t="n">
        <v>0</v>
      </c>
      <c r="M232" t="n">
        <v>0</v>
      </c>
      <c r="N232" t="n">
        <v>0</v>
      </c>
      <c r="O232" t="n">
        <v>0</v>
      </c>
      <c r="P232" t="n">
        <v>0</v>
      </c>
      <c r="Q232" t="n">
        <v>3</v>
      </c>
      <c r="R232" s="2" t="inlineStr">
        <is>
          <t>Tvåblad
Underviol
Fläcknycklar</t>
        </is>
      </c>
      <c r="S232">
        <f>HYPERLINK("https://klasma.github.io/Logging_2026/artfynd/A 20403-2023 artfynd.xlsx", "A 20403-2023")</f>
        <v/>
      </c>
      <c r="T232">
        <f>HYPERLINK("https://klasma.github.io/Logging_2026/kartor/A 20403-2023 karta.png", "A 20403-2023")</f>
        <v/>
      </c>
      <c r="V232">
        <f>HYPERLINK("https://klasma.github.io/Logging_2026/klagomål/A 20403-2023 FSC-klagomål.docx", "A 20403-2023")</f>
        <v/>
      </c>
      <c r="W232">
        <f>HYPERLINK("https://klasma.github.io/Logging_2026/klagomålsmail/A 20403-2023 FSC-klagomål mail.docx", "A 20403-2023")</f>
        <v/>
      </c>
      <c r="X232">
        <f>HYPERLINK("https://klasma.github.io/Logging_2026/tillsyn/A 20403-2023 tillsynsbegäran.docx", "A 20403-2023")</f>
        <v/>
      </c>
      <c r="Y232">
        <f>HYPERLINK("https://klasma.github.io/Logging_2026/tillsynsmail/A 20403-2023 tillsynsbegäran mail.docx", "A 20403-2023")</f>
        <v/>
      </c>
    </row>
    <row r="233" ht="15" customHeight="1">
      <c r="A233" t="inlineStr">
        <is>
          <t>A 22910-2023</t>
        </is>
      </c>
      <c r="B233" s="1" t="n">
        <v>45072</v>
      </c>
      <c r="C233" s="1" t="n">
        <v>45217</v>
      </c>
      <c r="D233" t="inlineStr">
        <is>
          <t>DALARNAS LÄN</t>
        </is>
      </c>
      <c r="E233" t="inlineStr">
        <is>
          <t>LUDVIKA</t>
        </is>
      </c>
      <c r="F233" t="inlineStr">
        <is>
          <t>Bergvik skog väst AB</t>
        </is>
      </c>
      <c r="G233" t="n">
        <v>3.6</v>
      </c>
      <c r="H233" t="n">
        <v>1</v>
      </c>
      <c r="I233" t="n">
        <v>2</v>
      </c>
      <c r="J233" t="n">
        <v>0</v>
      </c>
      <c r="K233" t="n">
        <v>1</v>
      </c>
      <c r="L233" t="n">
        <v>0</v>
      </c>
      <c r="M233" t="n">
        <v>0</v>
      </c>
      <c r="N233" t="n">
        <v>0</v>
      </c>
      <c r="O233" t="n">
        <v>1</v>
      </c>
      <c r="P233" t="n">
        <v>1</v>
      </c>
      <c r="Q233" t="n">
        <v>3</v>
      </c>
      <c r="R233" s="2" t="inlineStr">
        <is>
          <t>Knärot
Thomsons trägnagare
Vedticka</t>
        </is>
      </c>
      <c r="S233">
        <f>HYPERLINK("https://klasma.github.io/Logging_2085/artfynd/A 22910-2023 artfynd.xlsx", "A 22910-2023")</f>
        <v/>
      </c>
      <c r="T233">
        <f>HYPERLINK("https://klasma.github.io/Logging_2085/kartor/A 22910-2023 karta.png", "A 22910-2023")</f>
        <v/>
      </c>
      <c r="U233">
        <f>HYPERLINK("https://klasma.github.io/Logging_2085/knärot/A 22910-2023 karta knärot.png", "A 22910-2023")</f>
        <v/>
      </c>
      <c r="V233">
        <f>HYPERLINK("https://klasma.github.io/Logging_2085/klagomål/A 22910-2023 FSC-klagomål.docx", "A 22910-2023")</f>
        <v/>
      </c>
      <c r="W233">
        <f>HYPERLINK("https://klasma.github.io/Logging_2085/klagomålsmail/A 22910-2023 FSC-klagomål mail.docx", "A 22910-2023")</f>
        <v/>
      </c>
      <c r="X233">
        <f>HYPERLINK("https://klasma.github.io/Logging_2085/tillsyn/A 22910-2023 tillsynsbegäran.docx", "A 22910-2023")</f>
        <v/>
      </c>
      <c r="Y233">
        <f>HYPERLINK("https://klasma.github.io/Logging_2085/tillsynsmail/A 22910-2023 tillsynsbegäran mail.docx", "A 22910-2023")</f>
        <v/>
      </c>
    </row>
    <row r="234" ht="15" customHeight="1">
      <c r="A234" t="inlineStr">
        <is>
          <t>A 22913-2023</t>
        </is>
      </c>
      <c r="B234" s="1" t="n">
        <v>45072</v>
      </c>
      <c r="C234" s="1" t="n">
        <v>45217</v>
      </c>
      <c r="D234" t="inlineStr">
        <is>
          <t>DALARNAS LÄN</t>
        </is>
      </c>
      <c r="E234" t="inlineStr">
        <is>
          <t>BORLÄNGE</t>
        </is>
      </c>
      <c r="G234" t="n">
        <v>3.2</v>
      </c>
      <c r="H234" t="n">
        <v>1</v>
      </c>
      <c r="I234" t="n">
        <v>0</v>
      </c>
      <c r="J234" t="n">
        <v>1</v>
      </c>
      <c r="K234" t="n">
        <v>2</v>
      </c>
      <c r="L234" t="n">
        <v>0</v>
      </c>
      <c r="M234" t="n">
        <v>0</v>
      </c>
      <c r="N234" t="n">
        <v>0</v>
      </c>
      <c r="O234" t="n">
        <v>3</v>
      </c>
      <c r="P234" t="n">
        <v>2</v>
      </c>
      <c r="Q234" t="n">
        <v>3</v>
      </c>
      <c r="R234" s="2" t="inlineStr">
        <is>
          <t>Knärot
Rynkskinn
Ullticka</t>
        </is>
      </c>
      <c r="S234">
        <f>HYPERLINK("https://klasma.github.io/Logging_2081/artfynd/A 22913-2023 artfynd.xlsx", "A 22913-2023")</f>
        <v/>
      </c>
      <c r="T234">
        <f>HYPERLINK("https://klasma.github.io/Logging_2081/kartor/A 22913-2023 karta.png", "A 22913-2023")</f>
        <v/>
      </c>
      <c r="U234">
        <f>HYPERLINK("https://klasma.github.io/Logging_2081/knärot/A 22913-2023 karta knärot.png", "A 22913-2023")</f>
        <v/>
      </c>
      <c r="V234">
        <f>HYPERLINK("https://klasma.github.io/Logging_2081/klagomål/A 22913-2023 FSC-klagomål.docx", "A 22913-2023")</f>
        <v/>
      </c>
      <c r="W234">
        <f>HYPERLINK("https://klasma.github.io/Logging_2081/klagomålsmail/A 22913-2023 FSC-klagomål mail.docx", "A 22913-2023")</f>
        <v/>
      </c>
      <c r="X234">
        <f>HYPERLINK("https://klasma.github.io/Logging_2081/tillsyn/A 22913-2023 tillsynsbegäran.docx", "A 22913-2023")</f>
        <v/>
      </c>
      <c r="Y234">
        <f>HYPERLINK("https://klasma.github.io/Logging_2081/tillsynsmail/A 22913-2023 tillsynsbegäran mail.docx", "A 22913-2023")</f>
        <v/>
      </c>
    </row>
    <row r="235" ht="15" customHeight="1">
      <c r="A235" t="inlineStr">
        <is>
          <t>A 28119-2023</t>
        </is>
      </c>
      <c r="B235" s="1" t="n">
        <v>45099</v>
      </c>
      <c r="C235" s="1" t="n">
        <v>45217</v>
      </c>
      <c r="D235" t="inlineStr">
        <is>
          <t>DALARNAS LÄN</t>
        </is>
      </c>
      <c r="E235" t="inlineStr">
        <is>
          <t>LUDVIKA</t>
        </is>
      </c>
      <c r="F235" t="inlineStr">
        <is>
          <t>Bergvik skog väst AB</t>
        </is>
      </c>
      <c r="G235" t="n">
        <v>7.8</v>
      </c>
      <c r="H235" t="n">
        <v>1</v>
      </c>
      <c r="I235" t="n">
        <v>1</v>
      </c>
      <c r="J235" t="n">
        <v>1</v>
      </c>
      <c r="K235" t="n">
        <v>0</v>
      </c>
      <c r="L235" t="n">
        <v>0</v>
      </c>
      <c r="M235" t="n">
        <v>0</v>
      </c>
      <c r="N235" t="n">
        <v>0</v>
      </c>
      <c r="O235" t="n">
        <v>1</v>
      </c>
      <c r="P235" t="n">
        <v>0</v>
      </c>
      <c r="Q235" t="n">
        <v>3</v>
      </c>
      <c r="R235" s="2" t="inlineStr">
        <is>
          <t>Skorpgelélav
Bårdlav
Nattviol</t>
        </is>
      </c>
      <c r="S235">
        <f>HYPERLINK("https://klasma.github.io/Logging_2085/artfynd/A 28119-2023 artfynd.xlsx", "A 28119-2023")</f>
        <v/>
      </c>
      <c r="T235">
        <f>HYPERLINK("https://klasma.github.io/Logging_2085/kartor/A 28119-2023 karta.png", "A 28119-2023")</f>
        <v/>
      </c>
      <c r="V235">
        <f>HYPERLINK("https://klasma.github.io/Logging_2085/klagomål/A 28119-2023 FSC-klagomål.docx", "A 28119-2023")</f>
        <v/>
      </c>
      <c r="W235">
        <f>HYPERLINK("https://klasma.github.io/Logging_2085/klagomålsmail/A 28119-2023 FSC-klagomål mail.docx", "A 28119-2023")</f>
        <v/>
      </c>
      <c r="X235">
        <f>HYPERLINK("https://klasma.github.io/Logging_2085/tillsyn/A 28119-2023 tillsynsbegäran.docx", "A 28119-2023")</f>
        <v/>
      </c>
      <c r="Y235">
        <f>HYPERLINK("https://klasma.github.io/Logging_2085/tillsynsmail/A 28119-2023 tillsynsbegäran mail.docx", "A 28119-2023")</f>
        <v/>
      </c>
    </row>
    <row r="236" ht="15" customHeight="1">
      <c r="A236" t="inlineStr">
        <is>
          <t>A 29925-2023</t>
        </is>
      </c>
      <c r="B236" s="1" t="n">
        <v>45107</v>
      </c>
      <c r="C236" s="1" t="n">
        <v>45217</v>
      </c>
      <c r="D236" t="inlineStr">
        <is>
          <t>DALARNAS LÄN</t>
        </is>
      </c>
      <c r="E236" t="inlineStr">
        <is>
          <t>SÄTER</t>
        </is>
      </c>
      <c r="F236" t="inlineStr">
        <is>
          <t>Kommuner</t>
        </is>
      </c>
      <c r="G236" t="n">
        <v>9.199999999999999</v>
      </c>
      <c r="H236" t="n">
        <v>1</v>
      </c>
      <c r="I236" t="n">
        <v>1</v>
      </c>
      <c r="J236" t="n">
        <v>1</v>
      </c>
      <c r="K236" t="n">
        <v>0</v>
      </c>
      <c r="L236" t="n">
        <v>0</v>
      </c>
      <c r="M236" t="n">
        <v>0</v>
      </c>
      <c r="N236" t="n">
        <v>0</v>
      </c>
      <c r="O236" t="n">
        <v>1</v>
      </c>
      <c r="P236" t="n">
        <v>0</v>
      </c>
      <c r="Q236" t="n">
        <v>3</v>
      </c>
      <c r="R236" s="2" t="inlineStr">
        <is>
          <t>Kandelabersvamp
Svart trolldruva
Mattlummer</t>
        </is>
      </c>
      <c r="S236">
        <f>HYPERLINK("https://klasma.github.io/Logging_2082/artfynd/A 29925-2023 artfynd.xlsx", "A 29925-2023")</f>
        <v/>
      </c>
      <c r="T236">
        <f>HYPERLINK("https://klasma.github.io/Logging_2082/kartor/A 29925-2023 karta.png", "A 29925-2023")</f>
        <v/>
      </c>
      <c r="V236">
        <f>HYPERLINK("https://klasma.github.io/Logging_2082/klagomål/A 29925-2023 FSC-klagomål.docx", "A 29925-2023")</f>
        <v/>
      </c>
      <c r="W236">
        <f>HYPERLINK("https://klasma.github.io/Logging_2082/klagomålsmail/A 29925-2023 FSC-klagomål mail.docx", "A 29925-2023")</f>
        <v/>
      </c>
      <c r="X236">
        <f>HYPERLINK("https://klasma.github.io/Logging_2082/tillsyn/A 29925-2023 tillsynsbegäran.docx", "A 29925-2023")</f>
        <v/>
      </c>
      <c r="Y236">
        <f>HYPERLINK("https://klasma.github.io/Logging_2082/tillsynsmail/A 29925-2023 tillsynsbegäran mail.docx", "A 29925-2023")</f>
        <v/>
      </c>
    </row>
    <row r="237" ht="15" customHeight="1">
      <c r="A237" t="inlineStr">
        <is>
          <t>A 30522-2023</t>
        </is>
      </c>
      <c r="B237" s="1" t="n">
        <v>45111</v>
      </c>
      <c r="C237" s="1" t="n">
        <v>45217</v>
      </c>
      <c r="D237" t="inlineStr">
        <is>
          <t>DALARNAS LÄN</t>
        </is>
      </c>
      <c r="E237" t="inlineStr">
        <is>
          <t>RÄTTVIK</t>
        </is>
      </c>
      <c r="G237" t="n">
        <v>20.7</v>
      </c>
      <c r="H237" t="n">
        <v>0</v>
      </c>
      <c r="I237" t="n">
        <v>3</v>
      </c>
      <c r="J237" t="n">
        <v>0</v>
      </c>
      <c r="K237" t="n">
        <v>0</v>
      </c>
      <c r="L237" t="n">
        <v>0</v>
      </c>
      <c r="M237" t="n">
        <v>0</v>
      </c>
      <c r="N237" t="n">
        <v>0</v>
      </c>
      <c r="O237" t="n">
        <v>0</v>
      </c>
      <c r="P237" t="n">
        <v>0</v>
      </c>
      <c r="Q237" t="n">
        <v>3</v>
      </c>
      <c r="R237" s="2" t="inlineStr">
        <is>
          <t>Bronshjon
Bårdlav
Stuplav</t>
        </is>
      </c>
      <c r="S237">
        <f>HYPERLINK("https://klasma.github.io/Logging_2031/artfynd/A 30522-2023 artfynd.xlsx", "A 30522-2023")</f>
        <v/>
      </c>
      <c r="T237">
        <f>HYPERLINK("https://klasma.github.io/Logging_2031/kartor/A 30522-2023 karta.png", "A 30522-2023")</f>
        <v/>
      </c>
      <c r="V237">
        <f>HYPERLINK("https://klasma.github.io/Logging_2031/klagomål/A 30522-2023 FSC-klagomål.docx", "A 30522-2023")</f>
        <v/>
      </c>
      <c r="W237">
        <f>HYPERLINK("https://klasma.github.io/Logging_2031/klagomålsmail/A 30522-2023 FSC-klagomål mail.docx", "A 30522-2023")</f>
        <v/>
      </c>
      <c r="X237">
        <f>HYPERLINK("https://klasma.github.io/Logging_2031/tillsyn/A 30522-2023 tillsynsbegäran.docx", "A 30522-2023")</f>
        <v/>
      </c>
      <c r="Y237">
        <f>HYPERLINK("https://klasma.github.io/Logging_2031/tillsynsmail/A 30522-2023 tillsynsbegäran mail.docx", "A 30522-2023")</f>
        <v/>
      </c>
    </row>
    <row r="238" ht="15" customHeight="1">
      <c r="A238" t="inlineStr">
        <is>
          <t>A 32403-2023</t>
        </is>
      </c>
      <c r="B238" s="1" t="n">
        <v>45120</v>
      </c>
      <c r="C238" s="1" t="n">
        <v>45217</v>
      </c>
      <c r="D238" t="inlineStr">
        <is>
          <t>DALARNAS LÄN</t>
        </is>
      </c>
      <c r="E238" t="inlineStr">
        <is>
          <t>ÄLVDALEN</t>
        </is>
      </c>
      <c r="F238" t="inlineStr">
        <is>
          <t>Sveaskog</t>
        </is>
      </c>
      <c r="G238" t="n">
        <v>3</v>
      </c>
      <c r="H238" t="n">
        <v>0</v>
      </c>
      <c r="I238" t="n">
        <v>0</v>
      </c>
      <c r="J238" t="n">
        <v>3</v>
      </c>
      <c r="K238" t="n">
        <v>0</v>
      </c>
      <c r="L238" t="n">
        <v>0</v>
      </c>
      <c r="M238" t="n">
        <v>0</v>
      </c>
      <c r="N238" t="n">
        <v>0</v>
      </c>
      <c r="O238" t="n">
        <v>3</v>
      </c>
      <c r="P238" t="n">
        <v>0</v>
      </c>
      <c r="Q238" t="n">
        <v>3</v>
      </c>
      <c r="R238" s="2" t="inlineStr">
        <is>
          <t>Kolflarnlav
Vedflamlav
Vedskivlav</t>
        </is>
      </c>
      <c r="S238">
        <f>HYPERLINK("https://klasma.github.io/Logging_2039/artfynd/A 32403-2023 artfynd.xlsx", "A 32403-2023")</f>
        <v/>
      </c>
      <c r="T238">
        <f>HYPERLINK("https://klasma.github.io/Logging_2039/kartor/A 32403-2023 karta.png", "A 32403-2023")</f>
        <v/>
      </c>
      <c r="V238">
        <f>HYPERLINK("https://klasma.github.io/Logging_2039/klagomål/A 32403-2023 FSC-klagomål.docx", "A 32403-2023")</f>
        <v/>
      </c>
      <c r="W238">
        <f>HYPERLINK("https://klasma.github.io/Logging_2039/klagomålsmail/A 32403-2023 FSC-klagomål mail.docx", "A 32403-2023")</f>
        <v/>
      </c>
      <c r="X238">
        <f>HYPERLINK("https://klasma.github.io/Logging_2039/tillsyn/A 32403-2023 tillsynsbegäran.docx", "A 32403-2023")</f>
        <v/>
      </c>
      <c r="Y238">
        <f>HYPERLINK("https://klasma.github.io/Logging_2039/tillsynsmail/A 32403-2023 tillsynsbegäran mail.docx", "A 32403-2023")</f>
        <v/>
      </c>
    </row>
    <row r="239" ht="15" customHeight="1">
      <c r="A239" t="inlineStr">
        <is>
          <t>A 35141-2023</t>
        </is>
      </c>
      <c r="B239" s="1" t="n">
        <v>45145</v>
      </c>
      <c r="C239" s="1" t="n">
        <v>45217</v>
      </c>
      <c r="D239" t="inlineStr">
        <is>
          <t>DALARNAS LÄN</t>
        </is>
      </c>
      <c r="E239" t="inlineStr">
        <is>
          <t>ÄLVDALEN</t>
        </is>
      </c>
      <c r="F239" t="inlineStr">
        <is>
          <t>Sveaskog</t>
        </is>
      </c>
      <c r="G239" t="n">
        <v>1.8</v>
      </c>
      <c r="H239" t="n">
        <v>1</v>
      </c>
      <c r="I239" t="n">
        <v>0</v>
      </c>
      <c r="J239" t="n">
        <v>3</v>
      </c>
      <c r="K239" t="n">
        <v>0</v>
      </c>
      <c r="L239" t="n">
        <v>0</v>
      </c>
      <c r="M239" t="n">
        <v>0</v>
      </c>
      <c r="N239" t="n">
        <v>0</v>
      </c>
      <c r="O239" t="n">
        <v>3</v>
      </c>
      <c r="P239" t="n">
        <v>0</v>
      </c>
      <c r="Q239" t="n">
        <v>3</v>
      </c>
      <c r="R239" s="2" t="inlineStr">
        <is>
          <t>Garnlav
Kolflarnlav
Varglav</t>
        </is>
      </c>
      <c r="S239">
        <f>HYPERLINK("https://klasma.github.io/Logging_2039/artfynd/A 35141-2023 artfynd.xlsx", "A 35141-2023")</f>
        <v/>
      </c>
      <c r="T239">
        <f>HYPERLINK("https://klasma.github.io/Logging_2039/kartor/A 35141-2023 karta.png", "A 35141-2023")</f>
        <v/>
      </c>
      <c r="V239">
        <f>HYPERLINK("https://klasma.github.io/Logging_2039/klagomål/A 35141-2023 FSC-klagomål.docx", "A 35141-2023")</f>
        <v/>
      </c>
      <c r="W239">
        <f>HYPERLINK("https://klasma.github.io/Logging_2039/klagomålsmail/A 35141-2023 FSC-klagomål mail.docx", "A 35141-2023")</f>
        <v/>
      </c>
      <c r="X239">
        <f>HYPERLINK("https://klasma.github.io/Logging_2039/tillsyn/A 35141-2023 tillsynsbegäran.docx", "A 35141-2023")</f>
        <v/>
      </c>
      <c r="Y239">
        <f>HYPERLINK("https://klasma.github.io/Logging_2039/tillsynsmail/A 35141-2023 tillsynsbegäran mail.docx", "A 35141-2023")</f>
        <v/>
      </c>
    </row>
    <row r="240" ht="15" customHeight="1">
      <c r="A240" t="inlineStr">
        <is>
          <t>A 38542-2018</t>
        </is>
      </c>
      <c r="B240" s="1" t="n">
        <v>43339</v>
      </c>
      <c r="C240" s="1" t="n">
        <v>45217</v>
      </c>
      <c r="D240" t="inlineStr">
        <is>
          <t>DALARNAS LÄN</t>
        </is>
      </c>
      <c r="E240" t="inlineStr">
        <is>
          <t>MALUNG-SÄLEN</t>
        </is>
      </c>
      <c r="F240" t="inlineStr">
        <is>
          <t>Allmännings- och besparingsskogar</t>
        </is>
      </c>
      <c r="G240" t="n">
        <v>17.5</v>
      </c>
      <c r="H240" t="n">
        <v>0</v>
      </c>
      <c r="I240" t="n">
        <v>0</v>
      </c>
      <c r="J240" t="n">
        <v>2</v>
      </c>
      <c r="K240" t="n">
        <v>0</v>
      </c>
      <c r="L240" t="n">
        <v>0</v>
      </c>
      <c r="M240" t="n">
        <v>0</v>
      </c>
      <c r="N240" t="n">
        <v>0</v>
      </c>
      <c r="O240" t="n">
        <v>2</v>
      </c>
      <c r="P240" t="n">
        <v>0</v>
      </c>
      <c r="Q240" t="n">
        <v>2</v>
      </c>
      <c r="R240" s="2" t="inlineStr">
        <is>
          <t>Vedflamlav
Vedskivlav</t>
        </is>
      </c>
      <c r="S240">
        <f>HYPERLINK("https://klasma.github.io/Logging_2023/artfynd/A 38542-2018 artfynd.xlsx", "A 38542-2018")</f>
        <v/>
      </c>
      <c r="T240">
        <f>HYPERLINK("https://klasma.github.io/Logging_2023/kartor/A 38542-2018 karta.png", "A 38542-2018")</f>
        <v/>
      </c>
      <c r="V240">
        <f>HYPERLINK("https://klasma.github.io/Logging_2023/klagomål/A 38542-2018 FSC-klagomål.docx", "A 38542-2018")</f>
        <v/>
      </c>
      <c r="W240">
        <f>HYPERLINK("https://klasma.github.io/Logging_2023/klagomålsmail/A 38542-2018 FSC-klagomål mail.docx", "A 38542-2018")</f>
        <v/>
      </c>
      <c r="X240">
        <f>HYPERLINK("https://klasma.github.io/Logging_2023/tillsyn/A 38542-2018 tillsynsbegäran.docx", "A 38542-2018")</f>
        <v/>
      </c>
      <c r="Y240">
        <f>HYPERLINK("https://klasma.github.io/Logging_2023/tillsynsmail/A 38542-2018 tillsynsbegäran mail.docx", "A 38542-2018")</f>
        <v/>
      </c>
    </row>
    <row r="241" ht="15" customHeight="1">
      <c r="A241" t="inlineStr">
        <is>
          <t>A 45007-2018</t>
        </is>
      </c>
      <c r="B241" s="1" t="n">
        <v>43362</v>
      </c>
      <c r="C241" s="1" t="n">
        <v>45217</v>
      </c>
      <c r="D241" t="inlineStr">
        <is>
          <t>DALARNAS LÄN</t>
        </is>
      </c>
      <c r="E241" t="inlineStr">
        <is>
          <t>ÄLVDALEN</t>
        </is>
      </c>
      <c r="F241" t="inlineStr">
        <is>
          <t>Övriga statliga verk och myndigheter</t>
        </is>
      </c>
      <c r="G241" t="n">
        <v>94.09999999999999</v>
      </c>
      <c r="H241" t="n">
        <v>0</v>
      </c>
      <c r="I241" t="n">
        <v>1</v>
      </c>
      <c r="J241" t="n">
        <v>1</v>
      </c>
      <c r="K241" t="n">
        <v>0</v>
      </c>
      <c r="L241" t="n">
        <v>0</v>
      </c>
      <c r="M241" t="n">
        <v>0</v>
      </c>
      <c r="N241" t="n">
        <v>0</v>
      </c>
      <c r="O241" t="n">
        <v>1</v>
      </c>
      <c r="P241" t="n">
        <v>0</v>
      </c>
      <c r="Q241" t="n">
        <v>2</v>
      </c>
      <c r="R241" s="2" t="inlineStr">
        <is>
          <t>Skrovellav
Stuplav</t>
        </is>
      </c>
      <c r="S241">
        <f>HYPERLINK("https://klasma.github.io/Logging_2039/artfynd/A 45007-2018 artfynd.xlsx", "A 45007-2018")</f>
        <v/>
      </c>
      <c r="T241">
        <f>HYPERLINK("https://klasma.github.io/Logging_2039/kartor/A 45007-2018 karta.png", "A 45007-2018")</f>
        <v/>
      </c>
      <c r="V241">
        <f>HYPERLINK("https://klasma.github.io/Logging_2039/klagomål/A 45007-2018 FSC-klagomål.docx", "A 45007-2018")</f>
        <v/>
      </c>
      <c r="W241">
        <f>HYPERLINK("https://klasma.github.io/Logging_2039/klagomålsmail/A 45007-2018 FSC-klagomål mail.docx", "A 45007-2018")</f>
        <v/>
      </c>
      <c r="X241">
        <f>HYPERLINK("https://klasma.github.io/Logging_2039/tillsyn/A 45007-2018 tillsynsbegäran.docx", "A 45007-2018")</f>
        <v/>
      </c>
      <c r="Y241">
        <f>HYPERLINK("https://klasma.github.io/Logging_2039/tillsynsmail/A 45007-2018 tillsynsbegäran mail.docx", "A 45007-2018")</f>
        <v/>
      </c>
    </row>
    <row r="242" ht="15" customHeight="1">
      <c r="A242" t="inlineStr">
        <is>
          <t>A 66895-2018</t>
        </is>
      </c>
      <c r="B242" s="1" t="n">
        <v>43431</v>
      </c>
      <c r="C242" s="1" t="n">
        <v>45217</v>
      </c>
      <c r="D242" t="inlineStr">
        <is>
          <t>DALARNAS LÄN</t>
        </is>
      </c>
      <c r="E242" t="inlineStr">
        <is>
          <t>BORLÄNGE</t>
        </is>
      </c>
      <c r="G242" t="n">
        <v>10.6</v>
      </c>
      <c r="H242" t="n">
        <v>1</v>
      </c>
      <c r="I242" t="n">
        <v>0</v>
      </c>
      <c r="J242" t="n">
        <v>1</v>
      </c>
      <c r="K242" t="n">
        <v>0</v>
      </c>
      <c r="L242" t="n">
        <v>0</v>
      </c>
      <c r="M242" t="n">
        <v>1</v>
      </c>
      <c r="N242" t="n">
        <v>0</v>
      </c>
      <c r="O242" t="n">
        <v>2</v>
      </c>
      <c r="P242" t="n">
        <v>1</v>
      </c>
      <c r="Q242" t="n">
        <v>2</v>
      </c>
      <c r="R242" s="2" t="inlineStr">
        <is>
          <t>Skogsalm
Spillkråka</t>
        </is>
      </c>
      <c r="S242">
        <f>HYPERLINK("https://klasma.github.io/Logging_2081/artfynd/A 66895-2018 artfynd.xlsx", "A 66895-2018")</f>
        <v/>
      </c>
      <c r="T242">
        <f>HYPERLINK("https://klasma.github.io/Logging_2081/kartor/A 66895-2018 karta.png", "A 66895-2018")</f>
        <v/>
      </c>
      <c r="V242">
        <f>HYPERLINK("https://klasma.github.io/Logging_2081/klagomål/A 66895-2018 FSC-klagomål.docx", "A 66895-2018")</f>
        <v/>
      </c>
      <c r="W242">
        <f>HYPERLINK("https://klasma.github.io/Logging_2081/klagomålsmail/A 66895-2018 FSC-klagomål mail.docx", "A 66895-2018")</f>
        <v/>
      </c>
      <c r="X242">
        <f>HYPERLINK("https://klasma.github.io/Logging_2081/tillsyn/A 66895-2018 tillsynsbegäran.docx", "A 66895-2018")</f>
        <v/>
      </c>
      <c r="Y242">
        <f>HYPERLINK("https://klasma.github.io/Logging_2081/tillsynsmail/A 66895-2018 tillsynsbegäran mail.docx", "A 66895-2018")</f>
        <v/>
      </c>
    </row>
    <row r="243" ht="15" customHeight="1">
      <c r="A243" t="inlineStr">
        <is>
          <t>A 1114-2019</t>
        </is>
      </c>
      <c r="B243" s="1" t="n">
        <v>43472</v>
      </c>
      <c r="C243" s="1" t="n">
        <v>45217</v>
      </c>
      <c r="D243" t="inlineStr">
        <is>
          <t>DALARNAS LÄN</t>
        </is>
      </c>
      <c r="E243" t="inlineStr">
        <is>
          <t>MALUNG-SÄLEN</t>
        </is>
      </c>
      <c r="G243" t="n">
        <v>3.6</v>
      </c>
      <c r="H243" t="n">
        <v>1</v>
      </c>
      <c r="I243" t="n">
        <v>0</v>
      </c>
      <c r="J243" t="n">
        <v>2</v>
      </c>
      <c r="K243" t="n">
        <v>0</v>
      </c>
      <c r="L243" t="n">
        <v>0</v>
      </c>
      <c r="M243" t="n">
        <v>0</v>
      </c>
      <c r="N243" t="n">
        <v>0</v>
      </c>
      <c r="O243" t="n">
        <v>2</v>
      </c>
      <c r="P243" t="n">
        <v>0</v>
      </c>
      <c r="Q243" t="n">
        <v>2</v>
      </c>
      <c r="R243" s="2" t="inlineStr">
        <is>
          <t>Spillkråka
Tallticka</t>
        </is>
      </c>
      <c r="S243">
        <f>HYPERLINK("https://klasma.github.io/Logging_2023/artfynd/A 1114-2019 artfynd.xlsx", "A 1114-2019")</f>
        <v/>
      </c>
      <c r="T243">
        <f>HYPERLINK("https://klasma.github.io/Logging_2023/kartor/A 1114-2019 karta.png", "A 1114-2019")</f>
        <v/>
      </c>
      <c r="V243">
        <f>HYPERLINK("https://klasma.github.io/Logging_2023/klagomål/A 1114-2019 FSC-klagomål.docx", "A 1114-2019")</f>
        <v/>
      </c>
      <c r="W243">
        <f>HYPERLINK("https://klasma.github.io/Logging_2023/klagomålsmail/A 1114-2019 FSC-klagomål mail.docx", "A 1114-2019")</f>
        <v/>
      </c>
      <c r="X243">
        <f>HYPERLINK("https://klasma.github.io/Logging_2023/tillsyn/A 1114-2019 tillsynsbegäran.docx", "A 1114-2019")</f>
        <v/>
      </c>
      <c r="Y243">
        <f>HYPERLINK("https://klasma.github.io/Logging_2023/tillsynsmail/A 1114-2019 tillsynsbegäran mail.docx", "A 1114-2019")</f>
        <v/>
      </c>
    </row>
    <row r="244" ht="15" customHeight="1">
      <c r="A244" t="inlineStr">
        <is>
          <t>A 4540-2019</t>
        </is>
      </c>
      <c r="B244" s="1" t="n">
        <v>43486</v>
      </c>
      <c r="C244" s="1" t="n">
        <v>45217</v>
      </c>
      <c r="D244" t="inlineStr">
        <is>
          <t>DALARNAS LÄN</t>
        </is>
      </c>
      <c r="E244" t="inlineStr">
        <is>
          <t>HEDEMORA</t>
        </is>
      </c>
      <c r="F244" t="inlineStr">
        <is>
          <t>Sveaskog</t>
        </is>
      </c>
      <c r="G244" t="n">
        <v>8.199999999999999</v>
      </c>
      <c r="H244" t="n">
        <v>2</v>
      </c>
      <c r="I244" t="n">
        <v>0</v>
      </c>
      <c r="J244" t="n">
        <v>2</v>
      </c>
      <c r="K244" t="n">
        <v>0</v>
      </c>
      <c r="L244" t="n">
        <v>0</v>
      </c>
      <c r="M244" t="n">
        <v>0</v>
      </c>
      <c r="N244" t="n">
        <v>0</v>
      </c>
      <c r="O244" t="n">
        <v>2</v>
      </c>
      <c r="P244" t="n">
        <v>0</v>
      </c>
      <c r="Q244" t="n">
        <v>2</v>
      </c>
      <c r="R244" s="2" t="inlineStr">
        <is>
          <t>Spillkråka
Utter</t>
        </is>
      </c>
      <c r="S244">
        <f>HYPERLINK("https://klasma.github.io/Logging_2083/artfynd/A 4540-2019 artfynd.xlsx", "A 4540-2019")</f>
        <v/>
      </c>
      <c r="T244">
        <f>HYPERLINK("https://klasma.github.io/Logging_2083/kartor/A 4540-2019 karta.png", "A 4540-2019")</f>
        <v/>
      </c>
      <c r="V244">
        <f>HYPERLINK("https://klasma.github.io/Logging_2083/klagomål/A 4540-2019 FSC-klagomål.docx", "A 4540-2019")</f>
        <v/>
      </c>
      <c r="W244">
        <f>HYPERLINK("https://klasma.github.io/Logging_2083/klagomålsmail/A 4540-2019 FSC-klagomål mail.docx", "A 4540-2019")</f>
        <v/>
      </c>
      <c r="X244">
        <f>HYPERLINK("https://klasma.github.io/Logging_2083/tillsyn/A 4540-2019 tillsynsbegäran.docx", "A 4540-2019")</f>
        <v/>
      </c>
      <c r="Y244">
        <f>HYPERLINK("https://klasma.github.io/Logging_2083/tillsynsmail/A 4540-2019 tillsynsbegäran mail.docx", "A 4540-2019")</f>
        <v/>
      </c>
    </row>
    <row r="245" ht="15" customHeight="1">
      <c r="A245" t="inlineStr">
        <is>
          <t>A 16524-2019</t>
        </is>
      </c>
      <c r="B245" s="1" t="n">
        <v>43546</v>
      </c>
      <c r="C245" s="1" t="n">
        <v>45217</v>
      </c>
      <c r="D245" t="inlineStr">
        <is>
          <t>DALARNAS LÄN</t>
        </is>
      </c>
      <c r="E245" t="inlineStr">
        <is>
          <t>VANSBRO</t>
        </is>
      </c>
      <c r="G245" t="n">
        <v>4.6</v>
      </c>
      <c r="H245" t="n">
        <v>0</v>
      </c>
      <c r="I245" t="n">
        <v>1</v>
      </c>
      <c r="J245" t="n">
        <v>1</v>
      </c>
      <c r="K245" t="n">
        <v>0</v>
      </c>
      <c r="L245" t="n">
        <v>0</v>
      </c>
      <c r="M245" t="n">
        <v>0</v>
      </c>
      <c r="N245" t="n">
        <v>0</v>
      </c>
      <c r="O245" t="n">
        <v>1</v>
      </c>
      <c r="P245" t="n">
        <v>0</v>
      </c>
      <c r="Q245" t="n">
        <v>2</v>
      </c>
      <c r="R245" s="2" t="inlineStr">
        <is>
          <t>Gammelgransskål
Barkkornlav</t>
        </is>
      </c>
      <c r="S245">
        <f>HYPERLINK("https://klasma.github.io/Logging_2021/artfynd/A 16524-2019 artfynd.xlsx", "A 16524-2019")</f>
        <v/>
      </c>
      <c r="T245">
        <f>HYPERLINK("https://klasma.github.io/Logging_2021/kartor/A 16524-2019 karta.png", "A 16524-2019")</f>
        <v/>
      </c>
      <c r="V245">
        <f>HYPERLINK("https://klasma.github.io/Logging_2021/klagomål/A 16524-2019 FSC-klagomål.docx", "A 16524-2019")</f>
        <v/>
      </c>
      <c r="W245">
        <f>HYPERLINK("https://klasma.github.io/Logging_2021/klagomålsmail/A 16524-2019 FSC-klagomål mail.docx", "A 16524-2019")</f>
        <v/>
      </c>
      <c r="X245">
        <f>HYPERLINK("https://klasma.github.io/Logging_2021/tillsyn/A 16524-2019 tillsynsbegäran.docx", "A 16524-2019")</f>
        <v/>
      </c>
      <c r="Y245">
        <f>HYPERLINK("https://klasma.github.io/Logging_2021/tillsynsmail/A 16524-2019 tillsynsbegäran mail.docx", "A 16524-2019")</f>
        <v/>
      </c>
    </row>
    <row r="246" ht="15" customHeight="1">
      <c r="A246" t="inlineStr">
        <is>
          <t>A 33185-2019</t>
        </is>
      </c>
      <c r="B246" s="1" t="n">
        <v>43649</v>
      </c>
      <c r="C246" s="1" t="n">
        <v>45217</v>
      </c>
      <c r="D246" t="inlineStr">
        <is>
          <t>DALARNAS LÄN</t>
        </is>
      </c>
      <c r="E246" t="inlineStr">
        <is>
          <t>MORA</t>
        </is>
      </c>
      <c r="G246" t="n">
        <v>8</v>
      </c>
      <c r="H246" t="n">
        <v>0</v>
      </c>
      <c r="I246" t="n">
        <v>0</v>
      </c>
      <c r="J246" t="n">
        <v>2</v>
      </c>
      <c r="K246" t="n">
        <v>0</v>
      </c>
      <c r="L246" t="n">
        <v>0</v>
      </c>
      <c r="M246" t="n">
        <v>0</v>
      </c>
      <c r="N246" t="n">
        <v>0</v>
      </c>
      <c r="O246" t="n">
        <v>2</v>
      </c>
      <c r="P246" t="n">
        <v>0</v>
      </c>
      <c r="Q246" t="n">
        <v>2</v>
      </c>
      <c r="R246" s="2" t="inlineStr">
        <is>
          <t>Mörk kolflarnlav
Vedskivlav</t>
        </is>
      </c>
      <c r="S246">
        <f>HYPERLINK("https://klasma.github.io/Logging_2062/artfynd/A 33185-2019 artfynd.xlsx", "A 33185-2019")</f>
        <v/>
      </c>
      <c r="T246">
        <f>HYPERLINK("https://klasma.github.io/Logging_2062/kartor/A 33185-2019 karta.png", "A 33185-2019")</f>
        <v/>
      </c>
      <c r="V246">
        <f>HYPERLINK("https://klasma.github.io/Logging_2062/klagomål/A 33185-2019 FSC-klagomål.docx", "A 33185-2019")</f>
        <v/>
      </c>
      <c r="W246">
        <f>HYPERLINK("https://klasma.github.io/Logging_2062/klagomålsmail/A 33185-2019 FSC-klagomål mail.docx", "A 33185-2019")</f>
        <v/>
      </c>
      <c r="X246">
        <f>HYPERLINK("https://klasma.github.io/Logging_2062/tillsyn/A 33185-2019 tillsynsbegäran.docx", "A 33185-2019")</f>
        <v/>
      </c>
      <c r="Y246">
        <f>HYPERLINK("https://klasma.github.io/Logging_2062/tillsynsmail/A 33185-2019 tillsynsbegäran mail.docx", "A 33185-2019")</f>
        <v/>
      </c>
    </row>
    <row r="247" ht="15" customHeight="1">
      <c r="A247" t="inlineStr">
        <is>
          <t>A 41927-2019</t>
        </is>
      </c>
      <c r="B247" s="1" t="n">
        <v>43700</v>
      </c>
      <c r="C247" s="1" t="n">
        <v>45217</v>
      </c>
      <c r="D247" t="inlineStr">
        <is>
          <t>DALARNAS LÄN</t>
        </is>
      </c>
      <c r="E247" t="inlineStr">
        <is>
          <t>RÄTTVIK</t>
        </is>
      </c>
      <c r="F247" t="inlineStr">
        <is>
          <t>Sveaskog</t>
        </is>
      </c>
      <c r="G247" t="n">
        <v>13.8</v>
      </c>
      <c r="H247" t="n">
        <v>0</v>
      </c>
      <c r="I247" t="n">
        <v>0</v>
      </c>
      <c r="J247" t="n">
        <v>1</v>
      </c>
      <c r="K247" t="n">
        <v>1</v>
      </c>
      <c r="L247" t="n">
        <v>0</v>
      </c>
      <c r="M247" t="n">
        <v>0</v>
      </c>
      <c r="N247" t="n">
        <v>0</v>
      </c>
      <c r="O247" t="n">
        <v>2</v>
      </c>
      <c r="P247" t="n">
        <v>1</v>
      </c>
      <c r="Q247" t="n">
        <v>2</v>
      </c>
      <c r="R247" s="2" t="inlineStr">
        <is>
          <t>Goliatmusseron
Orange taggsvamp</t>
        </is>
      </c>
      <c r="S247">
        <f>HYPERLINK("https://klasma.github.io/Logging_2031/artfynd/A 41927-2019 artfynd.xlsx", "A 41927-2019")</f>
        <v/>
      </c>
      <c r="T247">
        <f>HYPERLINK("https://klasma.github.io/Logging_2031/kartor/A 41927-2019 karta.png", "A 41927-2019")</f>
        <v/>
      </c>
      <c r="V247">
        <f>HYPERLINK("https://klasma.github.io/Logging_2031/klagomål/A 41927-2019 FSC-klagomål.docx", "A 41927-2019")</f>
        <v/>
      </c>
      <c r="W247">
        <f>HYPERLINK("https://klasma.github.io/Logging_2031/klagomålsmail/A 41927-2019 FSC-klagomål mail.docx", "A 41927-2019")</f>
        <v/>
      </c>
      <c r="X247">
        <f>HYPERLINK("https://klasma.github.io/Logging_2031/tillsyn/A 41927-2019 tillsynsbegäran.docx", "A 41927-2019")</f>
        <v/>
      </c>
      <c r="Y247">
        <f>HYPERLINK("https://klasma.github.io/Logging_2031/tillsynsmail/A 41927-2019 tillsynsbegäran mail.docx", "A 41927-2019")</f>
        <v/>
      </c>
    </row>
    <row r="248" ht="15" customHeight="1">
      <c r="A248" t="inlineStr">
        <is>
          <t>A 45015-2019</t>
        </is>
      </c>
      <c r="B248" s="1" t="n">
        <v>43707</v>
      </c>
      <c r="C248" s="1" t="n">
        <v>45217</v>
      </c>
      <c r="D248" t="inlineStr">
        <is>
          <t>DALARNAS LÄN</t>
        </is>
      </c>
      <c r="E248" t="inlineStr">
        <is>
          <t>ÄLVDALEN</t>
        </is>
      </c>
      <c r="F248" t="inlineStr">
        <is>
          <t>Sveaskog</t>
        </is>
      </c>
      <c r="G248" t="n">
        <v>33.8</v>
      </c>
      <c r="H248" t="n">
        <v>1</v>
      </c>
      <c r="I248" t="n">
        <v>0</v>
      </c>
      <c r="J248" t="n">
        <v>2</v>
      </c>
      <c r="K248" t="n">
        <v>0</v>
      </c>
      <c r="L248" t="n">
        <v>0</v>
      </c>
      <c r="M248" t="n">
        <v>0</v>
      </c>
      <c r="N248" t="n">
        <v>0</v>
      </c>
      <c r="O248" t="n">
        <v>2</v>
      </c>
      <c r="P248" t="n">
        <v>0</v>
      </c>
      <c r="Q248" t="n">
        <v>2</v>
      </c>
      <c r="R248" s="2" t="inlineStr">
        <is>
          <t>Skrovellav
Varglav</t>
        </is>
      </c>
      <c r="S248">
        <f>HYPERLINK("https://klasma.github.io/Logging_2039/artfynd/A 45015-2019 artfynd.xlsx", "A 45015-2019")</f>
        <v/>
      </c>
      <c r="T248">
        <f>HYPERLINK("https://klasma.github.io/Logging_2039/kartor/A 45015-2019 karta.png", "A 45015-2019")</f>
        <v/>
      </c>
      <c r="V248">
        <f>HYPERLINK("https://klasma.github.io/Logging_2039/klagomål/A 45015-2019 FSC-klagomål.docx", "A 45015-2019")</f>
        <v/>
      </c>
      <c r="W248">
        <f>HYPERLINK("https://klasma.github.io/Logging_2039/klagomålsmail/A 45015-2019 FSC-klagomål mail.docx", "A 45015-2019")</f>
        <v/>
      </c>
      <c r="X248">
        <f>HYPERLINK("https://klasma.github.io/Logging_2039/tillsyn/A 45015-2019 tillsynsbegäran.docx", "A 45015-2019")</f>
        <v/>
      </c>
      <c r="Y248">
        <f>HYPERLINK("https://klasma.github.io/Logging_2039/tillsynsmail/A 45015-2019 tillsynsbegäran mail.docx", "A 45015-2019")</f>
        <v/>
      </c>
    </row>
    <row r="249" ht="15" customHeight="1">
      <c r="A249" t="inlineStr">
        <is>
          <t>A 49294-2019</t>
        </is>
      </c>
      <c r="B249" s="1" t="n">
        <v>43731</v>
      </c>
      <c r="C249" s="1" t="n">
        <v>45217</v>
      </c>
      <c r="D249" t="inlineStr">
        <is>
          <t>DALARNAS LÄN</t>
        </is>
      </c>
      <c r="E249" t="inlineStr">
        <is>
          <t>HEDEMORA</t>
        </is>
      </c>
      <c r="F249" t="inlineStr">
        <is>
          <t>Sveaskog</t>
        </is>
      </c>
      <c r="G249" t="n">
        <v>7.7</v>
      </c>
      <c r="H249" t="n">
        <v>2</v>
      </c>
      <c r="I249" t="n">
        <v>0</v>
      </c>
      <c r="J249" t="n">
        <v>1</v>
      </c>
      <c r="K249" t="n">
        <v>0</v>
      </c>
      <c r="L249" t="n">
        <v>0</v>
      </c>
      <c r="M249" t="n">
        <v>0</v>
      </c>
      <c r="N249" t="n">
        <v>0</v>
      </c>
      <c r="O249" t="n">
        <v>1</v>
      </c>
      <c r="P249" t="n">
        <v>0</v>
      </c>
      <c r="Q249" t="n">
        <v>2</v>
      </c>
      <c r="R249" s="2" t="inlineStr">
        <is>
          <t>Nordfladdermus
Vattenfladdermus</t>
        </is>
      </c>
      <c r="S249">
        <f>HYPERLINK("https://klasma.github.io/Logging_2083/artfynd/A 49294-2019 artfynd.xlsx", "A 49294-2019")</f>
        <v/>
      </c>
      <c r="T249">
        <f>HYPERLINK("https://klasma.github.io/Logging_2083/kartor/A 49294-2019 karta.png", "A 49294-2019")</f>
        <v/>
      </c>
      <c r="V249">
        <f>HYPERLINK("https://klasma.github.io/Logging_2083/klagomål/A 49294-2019 FSC-klagomål.docx", "A 49294-2019")</f>
        <v/>
      </c>
      <c r="W249">
        <f>HYPERLINK("https://klasma.github.io/Logging_2083/klagomålsmail/A 49294-2019 FSC-klagomål mail.docx", "A 49294-2019")</f>
        <v/>
      </c>
      <c r="X249">
        <f>HYPERLINK("https://klasma.github.io/Logging_2083/tillsyn/A 49294-2019 tillsynsbegäran.docx", "A 49294-2019")</f>
        <v/>
      </c>
      <c r="Y249">
        <f>HYPERLINK("https://klasma.github.io/Logging_2083/tillsynsmail/A 49294-2019 tillsynsbegäran mail.docx", "A 49294-2019")</f>
        <v/>
      </c>
    </row>
    <row r="250" ht="15" customHeight="1">
      <c r="A250" t="inlineStr">
        <is>
          <t>A 60948-2019</t>
        </is>
      </c>
      <c r="B250" s="1" t="n">
        <v>43780</v>
      </c>
      <c r="C250" s="1" t="n">
        <v>45217</v>
      </c>
      <c r="D250" t="inlineStr">
        <is>
          <t>DALARNAS LÄN</t>
        </is>
      </c>
      <c r="E250" t="inlineStr">
        <is>
          <t>LEKSAND</t>
        </is>
      </c>
      <c r="G250" t="n">
        <v>3.1</v>
      </c>
      <c r="H250" t="n">
        <v>2</v>
      </c>
      <c r="I250" t="n">
        <v>0</v>
      </c>
      <c r="J250" t="n">
        <v>0</v>
      </c>
      <c r="K250" t="n">
        <v>0</v>
      </c>
      <c r="L250" t="n">
        <v>0</v>
      </c>
      <c r="M250" t="n">
        <v>0</v>
      </c>
      <c r="N250" t="n">
        <v>0</v>
      </c>
      <c r="O250" t="n">
        <v>0</v>
      </c>
      <c r="P250" t="n">
        <v>0</v>
      </c>
      <c r="Q250" t="n">
        <v>2</v>
      </c>
      <c r="R250" s="2" t="inlineStr">
        <is>
          <t>Blåsippa
Revlummer</t>
        </is>
      </c>
      <c r="S250">
        <f>HYPERLINK("https://klasma.github.io/Logging_2029/artfynd/A 60948-2019 artfynd.xlsx", "A 60948-2019")</f>
        <v/>
      </c>
      <c r="T250">
        <f>HYPERLINK("https://klasma.github.io/Logging_2029/kartor/A 60948-2019 karta.png", "A 60948-2019")</f>
        <v/>
      </c>
      <c r="V250">
        <f>HYPERLINK("https://klasma.github.io/Logging_2029/klagomål/A 60948-2019 FSC-klagomål.docx", "A 60948-2019")</f>
        <v/>
      </c>
      <c r="W250">
        <f>HYPERLINK("https://klasma.github.io/Logging_2029/klagomålsmail/A 60948-2019 FSC-klagomål mail.docx", "A 60948-2019")</f>
        <v/>
      </c>
      <c r="X250">
        <f>HYPERLINK("https://klasma.github.io/Logging_2029/tillsyn/A 60948-2019 tillsynsbegäran.docx", "A 60948-2019")</f>
        <v/>
      </c>
      <c r="Y250">
        <f>HYPERLINK("https://klasma.github.io/Logging_2029/tillsynsmail/A 60948-2019 tillsynsbegäran mail.docx", "A 60948-2019")</f>
        <v/>
      </c>
    </row>
    <row r="251" ht="15" customHeight="1">
      <c r="A251" t="inlineStr">
        <is>
          <t>A 64812-2019</t>
        </is>
      </c>
      <c r="B251" s="1" t="n">
        <v>43801</v>
      </c>
      <c r="C251" s="1" t="n">
        <v>45217</v>
      </c>
      <c r="D251" t="inlineStr">
        <is>
          <t>DALARNAS LÄN</t>
        </is>
      </c>
      <c r="E251" t="inlineStr">
        <is>
          <t>MORA</t>
        </is>
      </c>
      <c r="G251" t="n">
        <v>5.6</v>
      </c>
      <c r="H251" t="n">
        <v>0</v>
      </c>
      <c r="I251" t="n">
        <v>0</v>
      </c>
      <c r="J251" t="n">
        <v>2</v>
      </c>
      <c r="K251" t="n">
        <v>0</v>
      </c>
      <c r="L251" t="n">
        <v>0</v>
      </c>
      <c r="M251" t="n">
        <v>0</v>
      </c>
      <c r="N251" t="n">
        <v>0</v>
      </c>
      <c r="O251" t="n">
        <v>2</v>
      </c>
      <c r="P251" t="n">
        <v>0</v>
      </c>
      <c r="Q251" t="n">
        <v>2</v>
      </c>
      <c r="R251" s="2" t="inlineStr">
        <is>
          <t>Rosenticka
Ullticka</t>
        </is>
      </c>
      <c r="S251">
        <f>HYPERLINK("https://klasma.github.io/Logging_2062/artfynd/A 64812-2019 artfynd.xlsx", "A 64812-2019")</f>
        <v/>
      </c>
      <c r="T251">
        <f>HYPERLINK("https://klasma.github.io/Logging_2062/kartor/A 64812-2019 karta.png", "A 64812-2019")</f>
        <v/>
      </c>
      <c r="V251">
        <f>HYPERLINK("https://klasma.github.io/Logging_2062/klagomål/A 64812-2019 FSC-klagomål.docx", "A 64812-2019")</f>
        <v/>
      </c>
      <c r="W251">
        <f>HYPERLINK("https://klasma.github.io/Logging_2062/klagomålsmail/A 64812-2019 FSC-klagomål mail.docx", "A 64812-2019")</f>
        <v/>
      </c>
      <c r="X251">
        <f>HYPERLINK("https://klasma.github.io/Logging_2062/tillsyn/A 64812-2019 tillsynsbegäran.docx", "A 64812-2019")</f>
        <v/>
      </c>
      <c r="Y251">
        <f>HYPERLINK("https://klasma.github.io/Logging_2062/tillsynsmail/A 64812-2019 tillsynsbegäran mail.docx", "A 64812-2019")</f>
        <v/>
      </c>
    </row>
    <row r="252" ht="15" customHeight="1">
      <c r="A252" t="inlineStr">
        <is>
          <t>A 67066-2019</t>
        </is>
      </c>
      <c r="B252" s="1" t="n">
        <v>43805</v>
      </c>
      <c r="C252" s="1" t="n">
        <v>45217</v>
      </c>
      <c r="D252" t="inlineStr">
        <is>
          <t>DALARNAS LÄN</t>
        </is>
      </c>
      <c r="E252" t="inlineStr">
        <is>
          <t>AVESTA</t>
        </is>
      </c>
      <c r="F252" t="inlineStr">
        <is>
          <t>Bergvik skog väst AB</t>
        </is>
      </c>
      <c r="G252" t="n">
        <v>1.7</v>
      </c>
      <c r="H252" t="n">
        <v>2</v>
      </c>
      <c r="I252" t="n">
        <v>0</v>
      </c>
      <c r="J252" t="n">
        <v>1</v>
      </c>
      <c r="K252" t="n">
        <v>0</v>
      </c>
      <c r="L252" t="n">
        <v>0</v>
      </c>
      <c r="M252" t="n">
        <v>0</v>
      </c>
      <c r="N252" t="n">
        <v>0</v>
      </c>
      <c r="O252" t="n">
        <v>1</v>
      </c>
      <c r="P252" t="n">
        <v>0</v>
      </c>
      <c r="Q252" t="n">
        <v>2</v>
      </c>
      <c r="R252" s="2" t="inlineStr">
        <is>
          <t>Nordfladdermus
Vattenfladdermus</t>
        </is>
      </c>
      <c r="S252">
        <f>HYPERLINK("https://klasma.github.io/Logging_2084/artfynd/A 67066-2019 artfynd.xlsx", "A 67066-2019")</f>
        <v/>
      </c>
      <c r="T252">
        <f>HYPERLINK("https://klasma.github.io/Logging_2084/kartor/A 67066-2019 karta.png", "A 67066-2019")</f>
        <v/>
      </c>
      <c r="V252">
        <f>HYPERLINK("https://klasma.github.io/Logging_2084/klagomål/A 67066-2019 FSC-klagomål.docx", "A 67066-2019")</f>
        <v/>
      </c>
      <c r="W252">
        <f>HYPERLINK("https://klasma.github.io/Logging_2084/klagomålsmail/A 67066-2019 FSC-klagomål mail.docx", "A 67066-2019")</f>
        <v/>
      </c>
      <c r="X252">
        <f>HYPERLINK("https://klasma.github.io/Logging_2084/tillsyn/A 67066-2019 tillsynsbegäran.docx", "A 67066-2019")</f>
        <v/>
      </c>
      <c r="Y252">
        <f>HYPERLINK("https://klasma.github.io/Logging_2084/tillsynsmail/A 67066-2019 tillsynsbegäran mail.docx", "A 67066-2019")</f>
        <v/>
      </c>
    </row>
    <row r="253" ht="15" customHeight="1">
      <c r="A253" t="inlineStr">
        <is>
          <t>A 67989-2019</t>
        </is>
      </c>
      <c r="B253" s="1" t="n">
        <v>43811</v>
      </c>
      <c r="C253" s="1" t="n">
        <v>45217</v>
      </c>
      <c r="D253" t="inlineStr">
        <is>
          <t>DALARNAS LÄN</t>
        </is>
      </c>
      <c r="E253" t="inlineStr">
        <is>
          <t>BORLÄNGE</t>
        </is>
      </c>
      <c r="G253" t="n">
        <v>2.8</v>
      </c>
      <c r="H253" t="n">
        <v>1</v>
      </c>
      <c r="I253" t="n">
        <v>0</v>
      </c>
      <c r="J253" t="n">
        <v>1</v>
      </c>
      <c r="K253" t="n">
        <v>0</v>
      </c>
      <c r="L253" t="n">
        <v>0</v>
      </c>
      <c r="M253" t="n">
        <v>0</v>
      </c>
      <c r="N253" t="n">
        <v>0</v>
      </c>
      <c r="O253" t="n">
        <v>1</v>
      </c>
      <c r="P253" t="n">
        <v>0</v>
      </c>
      <c r="Q253" t="n">
        <v>2</v>
      </c>
      <c r="R253" s="2" t="inlineStr">
        <is>
          <t>Gul taggsvamp
Blåsippa</t>
        </is>
      </c>
      <c r="S253">
        <f>HYPERLINK("https://klasma.github.io/Logging_2081/artfynd/A 67989-2019 artfynd.xlsx", "A 67989-2019")</f>
        <v/>
      </c>
      <c r="T253">
        <f>HYPERLINK("https://klasma.github.io/Logging_2081/kartor/A 67989-2019 karta.png", "A 67989-2019")</f>
        <v/>
      </c>
      <c r="V253">
        <f>HYPERLINK("https://klasma.github.io/Logging_2081/klagomål/A 67989-2019 FSC-klagomål.docx", "A 67989-2019")</f>
        <v/>
      </c>
      <c r="W253">
        <f>HYPERLINK("https://klasma.github.io/Logging_2081/klagomålsmail/A 67989-2019 FSC-klagomål mail.docx", "A 67989-2019")</f>
        <v/>
      </c>
      <c r="X253">
        <f>HYPERLINK("https://klasma.github.io/Logging_2081/tillsyn/A 67989-2019 tillsynsbegäran.docx", "A 67989-2019")</f>
        <v/>
      </c>
      <c r="Y253">
        <f>HYPERLINK("https://klasma.github.io/Logging_2081/tillsynsmail/A 67989-2019 tillsynsbegäran mail.docx", "A 67989-2019")</f>
        <v/>
      </c>
    </row>
    <row r="254" ht="15" customHeight="1">
      <c r="A254" t="inlineStr">
        <is>
          <t>A 7704-2020</t>
        </is>
      </c>
      <c r="B254" s="1" t="n">
        <v>43872</v>
      </c>
      <c r="C254" s="1" t="n">
        <v>45217</v>
      </c>
      <c r="D254" t="inlineStr">
        <is>
          <t>DALARNAS LÄN</t>
        </is>
      </c>
      <c r="E254" t="inlineStr">
        <is>
          <t>LUDVIKA</t>
        </is>
      </c>
      <c r="G254" t="n">
        <v>3.4</v>
      </c>
      <c r="H254" t="n">
        <v>1</v>
      </c>
      <c r="I254" t="n">
        <v>1</v>
      </c>
      <c r="J254" t="n">
        <v>0</v>
      </c>
      <c r="K254" t="n">
        <v>0</v>
      </c>
      <c r="L254" t="n">
        <v>0</v>
      </c>
      <c r="M254" t="n">
        <v>0</v>
      </c>
      <c r="N254" t="n">
        <v>0</v>
      </c>
      <c r="O254" t="n">
        <v>0</v>
      </c>
      <c r="P254" t="n">
        <v>0</v>
      </c>
      <c r="Q254" t="n">
        <v>2</v>
      </c>
      <c r="R254" s="2" t="inlineStr">
        <is>
          <t>Svavelriska
Blåsippa</t>
        </is>
      </c>
      <c r="S254">
        <f>HYPERLINK("https://klasma.github.io/Logging_2085/artfynd/A 7704-2020 artfynd.xlsx", "A 7704-2020")</f>
        <v/>
      </c>
      <c r="T254">
        <f>HYPERLINK("https://klasma.github.io/Logging_2085/kartor/A 7704-2020 karta.png", "A 7704-2020")</f>
        <v/>
      </c>
      <c r="V254">
        <f>HYPERLINK("https://klasma.github.io/Logging_2085/klagomål/A 7704-2020 FSC-klagomål.docx", "A 7704-2020")</f>
        <v/>
      </c>
      <c r="W254">
        <f>HYPERLINK("https://klasma.github.io/Logging_2085/klagomålsmail/A 7704-2020 FSC-klagomål mail.docx", "A 7704-2020")</f>
        <v/>
      </c>
      <c r="X254">
        <f>HYPERLINK("https://klasma.github.io/Logging_2085/tillsyn/A 7704-2020 tillsynsbegäran.docx", "A 7704-2020")</f>
        <v/>
      </c>
      <c r="Y254">
        <f>HYPERLINK("https://klasma.github.io/Logging_2085/tillsynsmail/A 7704-2020 tillsynsbegäran mail.docx", "A 7704-2020")</f>
        <v/>
      </c>
    </row>
    <row r="255" ht="15" customHeight="1">
      <c r="A255" t="inlineStr">
        <is>
          <t>A 7808-2020</t>
        </is>
      </c>
      <c r="B255" s="1" t="n">
        <v>43873</v>
      </c>
      <c r="C255" s="1" t="n">
        <v>45217</v>
      </c>
      <c r="D255" t="inlineStr">
        <is>
          <t>DALARNAS LÄN</t>
        </is>
      </c>
      <c r="E255" t="inlineStr">
        <is>
          <t>HEDEMORA</t>
        </is>
      </c>
      <c r="G255" t="n">
        <v>9.1</v>
      </c>
      <c r="H255" t="n">
        <v>1</v>
      </c>
      <c r="I255" t="n">
        <v>0</v>
      </c>
      <c r="J255" t="n">
        <v>1</v>
      </c>
      <c r="K255" t="n">
        <v>1</v>
      </c>
      <c r="L255" t="n">
        <v>0</v>
      </c>
      <c r="M255" t="n">
        <v>0</v>
      </c>
      <c r="N255" t="n">
        <v>0</v>
      </c>
      <c r="O255" t="n">
        <v>2</v>
      </c>
      <c r="P255" t="n">
        <v>1</v>
      </c>
      <c r="Q255" t="n">
        <v>2</v>
      </c>
      <c r="R255" s="2" t="inlineStr">
        <is>
          <t>Knärot
Ullticka</t>
        </is>
      </c>
      <c r="S255">
        <f>HYPERLINK("https://klasma.github.io/Logging_2083/artfynd/A 7808-2020 artfynd.xlsx", "A 7808-2020")</f>
        <v/>
      </c>
      <c r="T255">
        <f>HYPERLINK("https://klasma.github.io/Logging_2083/kartor/A 7808-2020 karta.png", "A 7808-2020")</f>
        <v/>
      </c>
      <c r="U255">
        <f>HYPERLINK("https://klasma.github.io/Logging_2083/knärot/A 7808-2020 karta knärot.png", "A 7808-2020")</f>
        <v/>
      </c>
      <c r="V255">
        <f>HYPERLINK("https://klasma.github.io/Logging_2083/klagomål/A 7808-2020 FSC-klagomål.docx", "A 7808-2020")</f>
        <v/>
      </c>
      <c r="W255">
        <f>HYPERLINK("https://klasma.github.io/Logging_2083/klagomålsmail/A 7808-2020 FSC-klagomål mail.docx", "A 7808-2020")</f>
        <v/>
      </c>
      <c r="X255">
        <f>HYPERLINK("https://klasma.github.io/Logging_2083/tillsyn/A 7808-2020 tillsynsbegäran.docx", "A 7808-2020")</f>
        <v/>
      </c>
      <c r="Y255">
        <f>HYPERLINK("https://klasma.github.io/Logging_2083/tillsynsmail/A 7808-2020 tillsynsbegäran mail.docx", "A 7808-2020")</f>
        <v/>
      </c>
    </row>
    <row r="256" ht="15" customHeight="1">
      <c r="A256" t="inlineStr">
        <is>
          <t>A 23406-2020</t>
        </is>
      </c>
      <c r="B256" s="1" t="n">
        <v>43969</v>
      </c>
      <c r="C256" s="1" t="n">
        <v>45217</v>
      </c>
      <c r="D256" t="inlineStr">
        <is>
          <t>DALARNAS LÄN</t>
        </is>
      </c>
      <c r="E256" t="inlineStr">
        <is>
          <t>VANSBRO</t>
        </is>
      </c>
      <c r="G256" t="n">
        <v>1</v>
      </c>
      <c r="H256" t="n">
        <v>1</v>
      </c>
      <c r="I256" t="n">
        <v>1</v>
      </c>
      <c r="J256" t="n">
        <v>0</v>
      </c>
      <c r="K256" t="n">
        <v>1</v>
      </c>
      <c r="L256" t="n">
        <v>0</v>
      </c>
      <c r="M256" t="n">
        <v>0</v>
      </c>
      <c r="N256" t="n">
        <v>0</v>
      </c>
      <c r="O256" t="n">
        <v>1</v>
      </c>
      <c r="P256" t="n">
        <v>1</v>
      </c>
      <c r="Q256" t="n">
        <v>2</v>
      </c>
      <c r="R256" s="2" t="inlineStr">
        <is>
          <t>Knärot
Dropptaggsvamp</t>
        </is>
      </c>
      <c r="S256">
        <f>HYPERLINK("https://klasma.github.io/Logging_2021/artfynd/A 23406-2020 artfynd.xlsx", "A 23406-2020")</f>
        <v/>
      </c>
      <c r="T256">
        <f>HYPERLINK("https://klasma.github.io/Logging_2021/kartor/A 23406-2020 karta.png", "A 23406-2020")</f>
        <v/>
      </c>
      <c r="U256">
        <f>HYPERLINK("https://klasma.github.io/Logging_2021/knärot/A 23406-2020 karta knärot.png", "A 23406-2020")</f>
        <v/>
      </c>
      <c r="V256">
        <f>HYPERLINK("https://klasma.github.io/Logging_2021/klagomål/A 23406-2020 FSC-klagomål.docx", "A 23406-2020")</f>
        <v/>
      </c>
      <c r="W256">
        <f>HYPERLINK("https://klasma.github.io/Logging_2021/klagomålsmail/A 23406-2020 FSC-klagomål mail.docx", "A 23406-2020")</f>
        <v/>
      </c>
      <c r="X256">
        <f>HYPERLINK("https://klasma.github.io/Logging_2021/tillsyn/A 23406-2020 tillsynsbegäran.docx", "A 23406-2020")</f>
        <v/>
      </c>
      <c r="Y256">
        <f>HYPERLINK("https://klasma.github.io/Logging_2021/tillsynsmail/A 23406-2020 tillsynsbegäran mail.docx", "A 23406-2020")</f>
        <v/>
      </c>
    </row>
    <row r="257" ht="15" customHeight="1">
      <c r="A257" t="inlineStr">
        <is>
          <t>A 36900-2020</t>
        </is>
      </c>
      <c r="B257" s="1" t="n">
        <v>44053</v>
      </c>
      <c r="C257" s="1" t="n">
        <v>45217</v>
      </c>
      <c r="D257" t="inlineStr">
        <is>
          <t>DALARNAS LÄN</t>
        </is>
      </c>
      <c r="E257" t="inlineStr">
        <is>
          <t>LEKSAND</t>
        </is>
      </c>
      <c r="F257" t="inlineStr">
        <is>
          <t>Bergvik skog väst AB</t>
        </is>
      </c>
      <c r="G257" t="n">
        <v>2.9</v>
      </c>
      <c r="H257" t="n">
        <v>0</v>
      </c>
      <c r="I257" t="n">
        <v>1</v>
      </c>
      <c r="J257" t="n">
        <v>1</v>
      </c>
      <c r="K257" t="n">
        <v>0</v>
      </c>
      <c r="L257" t="n">
        <v>0</v>
      </c>
      <c r="M257" t="n">
        <v>0</v>
      </c>
      <c r="N257" t="n">
        <v>0</v>
      </c>
      <c r="O257" t="n">
        <v>1</v>
      </c>
      <c r="P257" t="n">
        <v>0</v>
      </c>
      <c r="Q257" t="n">
        <v>2</v>
      </c>
      <c r="R257" s="2" t="inlineStr">
        <is>
          <t>Vedskivlav
Mindre märgborre</t>
        </is>
      </c>
      <c r="S257">
        <f>HYPERLINK("https://klasma.github.io/Logging_2029/artfynd/A 36900-2020 artfynd.xlsx", "A 36900-2020")</f>
        <v/>
      </c>
      <c r="T257">
        <f>HYPERLINK("https://klasma.github.io/Logging_2029/kartor/A 36900-2020 karta.png", "A 36900-2020")</f>
        <v/>
      </c>
      <c r="V257">
        <f>HYPERLINK("https://klasma.github.io/Logging_2029/klagomål/A 36900-2020 FSC-klagomål.docx", "A 36900-2020")</f>
        <v/>
      </c>
      <c r="W257">
        <f>HYPERLINK("https://klasma.github.io/Logging_2029/klagomålsmail/A 36900-2020 FSC-klagomål mail.docx", "A 36900-2020")</f>
        <v/>
      </c>
      <c r="X257">
        <f>HYPERLINK("https://klasma.github.io/Logging_2029/tillsyn/A 36900-2020 tillsynsbegäran.docx", "A 36900-2020")</f>
        <v/>
      </c>
      <c r="Y257">
        <f>HYPERLINK("https://klasma.github.io/Logging_2029/tillsynsmail/A 36900-2020 tillsynsbegäran mail.docx", "A 36900-2020")</f>
        <v/>
      </c>
    </row>
    <row r="258" ht="15" customHeight="1">
      <c r="A258" t="inlineStr">
        <is>
          <t>A 40160-2020</t>
        </is>
      </c>
      <c r="B258" s="1" t="n">
        <v>44068</v>
      </c>
      <c r="C258" s="1" t="n">
        <v>45217</v>
      </c>
      <c r="D258" t="inlineStr">
        <is>
          <t>DALARNAS LÄN</t>
        </is>
      </c>
      <c r="E258" t="inlineStr">
        <is>
          <t>FALUN</t>
        </is>
      </c>
      <c r="F258" t="inlineStr">
        <is>
          <t>Bergvik skog väst AB</t>
        </is>
      </c>
      <c r="G258" t="n">
        <v>2.5</v>
      </c>
      <c r="H258" t="n">
        <v>1</v>
      </c>
      <c r="I258" t="n">
        <v>1</v>
      </c>
      <c r="J258" t="n">
        <v>1</v>
      </c>
      <c r="K258" t="n">
        <v>0</v>
      </c>
      <c r="L258" t="n">
        <v>0</v>
      </c>
      <c r="M258" t="n">
        <v>0</v>
      </c>
      <c r="N258" t="n">
        <v>0</v>
      </c>
      <c r="O258" t="n">
        <v>1</v>
      </c>
      <c r="P258" t="n">
        <v>0</v>
      </c>
      <c r="Q258" t="n">
        <v>2</v>
      </c>
      <c r="R258" s="2" t="inlineStr">
        <is>
          <t>Garnlav
Plattlummer</t>
        </is>
      </c>
      <c r="S258">
        <f>HYPERLINK("https://klasma.github.io/Logging_2080/artfynd/A 40160-2020 artfynd.xlsx", "A 40160-2020")</f>
        <v/>
      </c>
      <c r="T258">
        <f>HYPERLINK("https://klasma.github.io/Logging_2080/kartor/A 40160-2020 karta.png", "A 40160-2020")</f>
        <v/>
      </c>
      <c r="V258">
        <f>HYPERLINK("https://klasma.github.io/Logging_2080/klagomål/A 40160-2020 FSC-klagomål.docx", "A 40160-2020")</f>
        <v/>
      </c>
      <c r="W258">
        <f>HYPERLINK("https://klasma.github.io/Logging_2080/klagomålsmail/A 40160-2020 FSC-klagomål mail.docx", "A 40160-2020")</f>
        <v/>
      </c>
      <c r="X258">
        <f>HYPERLINK("https://klasma.github.io/Logging_2080/tillsyn/A 40160-2020 tillsynsbegäran.docx", "A 40160-2020")</f>
        <v/>
      </c>
      <c r="Y258">
        <f>HYPERLINK("https://klasma.github.io/Logging_2080/tillsynsmail/A 40160-2020 tillsynsbegäran mail.docx", "A 40160-2020")</f>
        <v/>
      </c>
    </row>
    <row r="259" ht="15" customHeight="1">
      <c r="A259" t="inlineStr">
        <is>
          <t>A 47051-2020</t>
        </is>
      </c>
      <c r="B259" s="1" t="n">
        <v>44091</v>
      </c>
      <c r="C259" s="1" t="n">
        <v>45217</v>
      </c>
      <c r="D259" t="inlineStr">
        <is>
          <t>DALARNAS LÄN</t>
        </is>
      </c>
      <c r="E259" t="inlineStr">
        <is>
          <t>SMEDJEBACKEN</t>
        </is>
      </c>
      <c r="F259" t="inlineStr">
        <is>
          <t>Bergvik skog väst AB</t>
        </is>
      </c>
      <c r="G259" t="n">
        <v>2.5</v>
      </c>
      <c r="H259" t="n">
        <v>1</v>
      </c>
      <c r="I259" t="n">
        <v>0</v>
      </c>
      <c r="J259" t="n">
        <v>1</v>
      </c>
      <c r="K259" t="n">
        <v>0</v>
      </c>
      <c r="L259" t="n">
        <v>0</v>
      </c>
      <c r="M259" t="n">
        <v>0</v>
      </c>
      <c r="N259" t="n">
        <v>0</v>
      </c>
      <c r="O259" t="n">
        <v>1</v>
      </c>
      <c r="P259" t="n">
        <v>0</v>
      </c>
      <c r="Q259" t="n">
        <v>2</v>
      </c>
      <c r="R259" s="2" t="inlineStr">
        <is>
          <t>Grantaggsvamp
Fläcknycklar</t>
        </is>
      </c>
      <c r="S259">
        <f>HYPERLINK("https://klasma.github.io/Logging_2061/artfynd/A 47051-2020 artfynd.xlsx", "A 47051-2020")</f>
        <v/>
      </c>
      <c r="T259">
        <f>HYPERLINK("https://klasma.github.io/Logging_2061/kartor/A 47051-2020 karta.png", "A 47051-2020")</f>
        <v/>
      </c>
      <c r="V259">
        <f>HYPERLINK("https://klasma.github.io/Logging_2061/klagomål/A 47051-2020 FSC-klagomål.docx", "A 47051-2020")</f>
        <v/>
      </c>
      <c r="W259">
        <f>HYPERLINK("https://klasma.github.io/Logging_2061/klagomålsmail/A 47051-2020 FSC-klagomål mail.docx", "A 47051-2020")</f>
        <v/>
      </c>
      <c r="X259">
        <f>HYPERLINK("https://klasma.github.io/Logging_2061/tillsyn/A 47051-2020 tillsynsbegäran.docx", "A 47051-2020")</f>
        <v/>
      </c>
      <c r="Y259">
        <f>HYPERLINK("https://klasma.github.io/Logging_2061/tillsynsmail/A 47051-2020 tillsynsbegäran mail.docx", "A 47051-2020")</f>
        <v/>
      </c>
    </row>
    <row r="260" ht="15" customHeight="1">
      <c r="A260" t="inlineStr">
        <is>
          <t>A 45940-2020</t>
        </is>
      </c>
      <c r="B260" s="1" t="n">
        <v>44091</v>
      </c>
      <c r="C260" s="1" t="n">
        <v>45217</v>
      </c>
      <c r="D260" t="inlineStr">
        <is>
          <t>DALARNAS LÄN</t>
        </is>
      </c>
      <c r="E260" t="inlineStr">
        <is>
          <t>FALUN</t>
        </is>
      </c>
      <c r="F260" t="inlineStr">
        <is>
          <t>Bergvik skog väst AB</t>
        </is>
      </c>
      <c r="G260" t="n">
        <v>3.7</v>
      </c>
      <c r="H260" t="n">
        <v>1</v>
      </c>
      <c r="I260" t="n">
        <v>0</v>
      </c>
      <c r="J260" t="n">
        <v>2</v>
      </c>
      <c r="K260" t="n">
        <v>0</v>
      </c>
      <c r="L260" t="n">
        <v>0</v>
      </c>
      <c r="M260" t="n">
        <v>0</v>
      </c>
      <c r="N260" t="n">
        <v>0</v>
      </c>
      <c r="O260" t="n">
        <v>2</v>
      </c>
      <c r="P260" t="n">
        <v>0</v>
      </c>
      <c r="Q260" t="n">
        <v>2</v>
      </c>
      <c r="R260" s="2" t="inlineStr">
        <is>
          <t>Garnlav
Järpe</t>
        </is>
      </c>
      <c r="S260">
        <f>HYPERLINK("https://klasma.github.io/Logging_2080/artfynd/A 45940-2020 artfynd.xlsx", "A 45940-2020")</f>
        <v/>
      </c>
      <c r="T260">
        <f>HYPERLINK("https://klasma.github.io/Logging_2080/kartor/A 45940-2020 karta.png", "A 45940-2020")</f>
        <v/>
      </c>
      <c r="V260">
        <f>HYPERLINK("https://klasma.github.io/Logging_2080/klagomål/A 45940-2020 FSC-klagomål.docx", "A 45940-2020")</f>
        <v/>
      </c>
      <c r="W260">
        <f>HYPERLINK("https://klasma.github.io/Logging_2080/klagomålsmail/A 45940-2020 FSC-klagomål mail.docx", "A 45940-2020")</f>
        <v/>
      </c>
      <c r="X260">
        <f>HYPERLINK("https://klasma.github.io/Logging_2080/tillsyn/A 45940-2020 tillsynsbegäran.docx", "A 45940-2020")</f>
        <v/>
      </c>
      <c r="Y260">
        <f>HYPERLINK("https://klasma.github.io/Logging_2080/tillsynsmail/A 45940-2020 tillsynsbegäran mail.docx", "A 45940-2020")</f>
        <v/>
      </c>
    </row>
    <row r="261" ht="15" customHeight="1">
      <c r="A261" t="inlineStr">
        <is>
          <t>A 56050-2020</t>
        </is>
      </c>
      <c r="B261" s="1" t="n">
        <v>44133</v>
      </c>
      <c r="C261" s="1" t="n">
        <v>45217</v>
      </c>
      <c r="D261" t="inlineStr">
        <is>
          <t>DALARNAS LÄN</t>
        </is>
      </c>
      <c r="E261" t="inlineStr">
        <is>
          <t>FALUN</t>
        </is>
      </c>
      <c r="F261" t="inlineStr">
        <is>
          <t>Bergvik skog väst AB</t>
        </is>
      </c>
      <c r="G261" t="n">
        <v>19</v>
      </c>
      <c r="H261" t="n">
        <v>0</v>
      </c>
      <c r="I261" t="n">
        <v>1</v>
      </c>
      <c r="J261" t="n">
        <v>1</v>
      </c>
      <c r="K261" t="n">
        <v>0</v>
      </c>
      <c r="L261" t="n">
        <v>0</v>
      </c>
      <c r="M261" t="n">
        <v>0</v>
      </c>
      <c r="N261" t="n">
        <v>0</v>
      </c>
      <c r="O261" t="n">
        <v>1</v>
      </c>
      <c r="P261" t="n">
        <v>0</v>
      </c>
      <c r="Q261" t="n">
        <v>2</v>
      </c>
      <c r="R261" s="2" t="inlineStr">
        <is>
          <t>Lunglav
Korallblylav</t>
        </is>
      </c>
      <c r="S261">
        <f>HYPERLINK("https://klasma.github.io/Logging_2080/artfynd/A 56050-2020 artfynd.xlsx", "A 56050-2020")</f>
        <v/>
      </c>
      <c r="T261">
        <f>HYPERLINK("https://klasma.github.io/Logging_2080/kartor/A 56050-2020 karta.png", "A 56050-2020")</f>
        <v/>
      </c>
      <c r="V261">
        <f>HYPERLINK("https://klasma.github.io/Logging_2080/klagomål/A 56050-2020 FSC-klagomål.docx", "A 56050-2020")</f>
        <v/>
      </c>
      <c r="W261">
        <f>HYPERLINK("https://klasma.github.io/Logging_2080/klagomålsmail/A 56050-2020 FSC-klagomål mail.docx", "A 56050-2020")</f>
        <v/>
      </c>
      <c r="X261">
        <f>HYPERLINK("https://klasma.github.io/Logging_2080/tillsyn/A 56050-2020 tillsynsbegäran.docx", "A 56050-2020")</f>
        <v/>
      </c>
      <c r="Y261">
        <f>HYPERLINK("https://klasma.github.io/Logging_2080/tillsynsmail/A 56050-2020 tillsynsbegäran mail.docx", "A 56050-2020")</f>
        <v/>
      </c>
    </row>
    <row r="262" ht="15" customHeight="1">
      <c r="A262" t="inlineStr">
        <is>
          <t>A 59626-2020</t>
        </is>
      </c>
      <c r="B262" s="1" t="n">
        <v>44150</v>
      </c>
      <c r="C262" s="1" t="n">
        <v>45217</v>
      </c>
      <c r="D262" t="inlineStr">
        <is>
          <t>DALARNAS LÄN</t>
        </is>
      </c>
      <c r="E262" t="inlineStr">
        <is>
          <t>MORA</t>
        </is>
      </c>
      <c r="F262" t="inlineStr">
        <is>
          <t>Bergvik skog öst AB</t>
        </is>
      </c>
      <c r="G262" t="n">
        <v>3.8</v>
      </c>
      <c r="H262" t="n">
        <v>0</v>
      </c>
      <c r="I262" t="n">
        <v>1</v>
      </c>
      <c r="J262" t="n">
        <v>1</v>
      </c>
      <c r="K262" t="n">
        <v>0</v>
      </c>
      <c r="L262" t="n">
        <v>0</v>
      </c>
      <c r="M262" t="n">
        <v>0</v>
      </c>
      <c r="N262" t="n">
        <v>0</v>
      </c>
      <c r="O262" t="n">
        <v>1</v>
      </c>
      <c r="P262" t="n">
        <v>0</v>
      </c>
      <c r="Q262" t="n">
        <v>2</v>
      </c>
      <c r="R262" s="2" t="inlineStr">
        <is>
          <t>Motaggsvamp
Dropptaggsvamp</t>
        </is>
      </c>
      <c r="S262">
        <f>HYPERLINK("https://klasma.github.io/Logging_2062/artfynd/A 59626-2020 artfynd.xlsx", "A 59626-2020")</f>
        <v/>
      </c>
      <c r="T262">
        <f>HYPERLINK("https://klasma.github.io/Logging_2062/kartor/A 59626-2020 karta.png", "A 59626-2020")</f>
        <v/>
      </c>
      <c r="V262">
        <f>HYPERLINK("https://klasma.github.io/Logging_2062/klagomål/A 59626-2020 FSC-klagomål.docx", "A 59626-2020")</f>
        <v/>
      </c>
      <c r="W262">
        <f>HYPERLINK("https://klasma.github.io/Logging_2062/klagomålsmail/A 59626-2020 FSC-klagomål mail.docx", "A 59626-2020")</f>
        <v/>
      </c>
      <c r="X262">
        <f>HYPERLINK("https://klasma.github.io/Logging_2062/tillsyn/A 59626-2020 tillsynsbegäran.docx", "A 59626-2020")</f>
        <v/>
      </c>
      <c r="Y262">
        <f>HYPERLINK("https://klasma.github.io/Logging_2062/tillsynsmail/A 59626-2020 tillsynsbegäran mail.docx", "A 59626-2020")</f>
        <v/>
      </c>
    </row>
    <row r="263" ht="15" customHeight="1">
      <c r="A263" t="inlineStr">
        <is>
          <t>A 62286-2020</t>
        </is>
      </c>
      <c r="B263" s="1" t="n">
        <v>44160</v>
      </c>
      <c r="C263" s="1" t="n">
        <v>45217</v>
      </c>
      <c r="D263" t="inlineStr">
        <is>
          <t>DALARNAS LÄN</t>
        </is>
      </c>
      <c r="E263" t="inlineStr">
        <is>
          <t>MORA</t>
        </is>
      </c>
      <c r="G263" t="n">
        <v>0.6</v>
      </c>
      <c r="H263" t="n">
        <v>1</v>
      </c>
      <c r="I263" t="n">
        <v>1</v>
      </c>
      <c r="J263" t="n">
        <v>1</v>
      </c>
      <c r="K263" t="n">
        <v>0</v>
      </c>
      <c r="L263" t="n">
        <v>0</v>
      </c>
      <c r="M263" t="n">
        <v>0</v>
      </c>
      <c r="N263" t="n">
        <v>0</v>
      </c>
      <c r="O263" t="n">
        <v>1</v>
      </c>
      <c r="P263" t="n">
        <v>0</v>
      </c>
      <c r="Q263" t="n">
        <v>2</v>
      </c>
      <c r="R263" s="2" t="inlineStr">
        <is>
          <t>Brun gräsfjäril
Traslav</t>
        </is>
      </c>
      <c r="S263">
        <f>HYPERLINK("https://klasma.github.io/Logging_2062/artfynd/A 62286-2020 artfynd.xlsx", "A 62286-2020")</f>
        <v/>
      </c>
      <c r="T263">
        <f>HYPERLINK("https://klasma.github.io/Logging_2062/kartor/A 62286-2020 karta.png", "A 62286-2020")</f>
        <v/>
      </c>
      <c r="V263">
        <f>HYPERLINK("https://klasma.github.io/Logging_2062/klagomål/A 62286-2020 FSC-klagomål.docx", "A 62286-2020")</f>
        <v/>
      </c>
      <c r="W263">
        <f>HYPERLINK("https://klasma.github.io/Logging_2062/klagomålsmail/A 62286-2020 FSC-klagomål mail.docx", "A 62286-2020")</f>
        <v/>
      </c>
      <c r="X263">
        <f>HYPERLINK("https://klasma.github.io/Logging_2062/tillsyn/A 62286-2020 tillsynsbegäran.docx", "A 62286-2020")</f>
        <v/>
      </c>
      <c r="Y263">
        <f>HYPERLINK("https://klasma.github.io/Logging_2062/tillsynsmail/A 62286-2020 tillsynsbegäran mail.docx", "A 62286-2020")</f>
        <v/>
      </c>
    </row>
    <row r="264" ht="15" customHeight="1">
      <c r="A264" t="inlineStr">
        <is>
          <t>A 1389-2021</t>
        </is>
      </c>
      <c r="B264" s="1" t="n">
        <v>44208</v>
      </c>
      <c r="C264" s="1" t="n">
        <v>45217</v>
      </c>
      <c r="D264" t="inlineStr">
        <is>
          <t>DALARNAS LÄN</t>
        </is>
      </c>
      <c r="E264" t="inlineStr">
        <is>
          <t>VANSBRO</t>
        </is>
      </c>
      <c r="G264" t="n">
        <v>3</v>
      </c>
      <c r="H264" t="n">
        <v>1</v>
      </c>
      <c r="I264" t="n">
        <v>0</v>
      </c>
      <c r="J264" t="n">
        <v>1</v>
      </c>
      <c r="K264" t="n">
        <v>1</v>
      </c>
      <c r="L264" t="n">
        <v>0</v>
      </c>
      <c r="M264" t="n">
        <v>0</v>
      </c>
      <c r="N264" t="n">
        <v>0</v>
      </c>
      <c r="O264" t="n">
        <v>2</v>
      </c>
      <c r="P264" t="n">
        <v>1</v>
      </c>
      <c r="Q264" t="n">
        <v>2</v>
      </c>
      <c r="R264" s="2" t="inlineStr">
        <is>
          <t>Knärot
Ullticka</t>
        </is>
      </c>
      <c r="S264">
        <f>HYPERLINK("https://klasma.github.io/Logging_2021/artfynd/A 1389-2021 artfynd.xlsx", "A 1389-2021")</f>
        <v/>
      </c>
      <c r="T264">
        <f>HYPERLINK("https://klasma.github.io/Logging_2021/kartor/A 1389-2021 karta.png", "A 1389-2021")</f>
        <v/>
      </c>
      <c r="U264">
        <f>HYPERLINK("https://klasma.github.io/Logging_2021/knärot/A 1389-2021 karta knärot.png", "A 1389-2021")</f>
        <v/>
      </c>
      <c r="V264">
        <f>HYPERLINK("https://klasma.github.io/Logging_2021/klagomål/A 1389-2021 FSC-klagomål.docx", "A 1389-2021")</f>
        <v/>
      </c>
      <c r="W264">
        <f>HYPERLINK("https://klasma.github.io/Logging_2021/klagomålsmail/A 1389-2021 FSC-klagomål mail.docx", "A 1389-2021")</f>
        <v/>
      </c>
      <c r="X264">
        <f>HYPERLINK("https://klasma.github.io/Logging_2021/tillsyn/A 1389-2021 tillsynsbegäran.docx", "A 1389-2021")</f>
        <v/>
      </c>
      <c r="Y264">
        <f>HYPERLINK("https://klasma.github.io/Logging_2021/tillsynsmail/A 1389-2021 tillsynsbegäran mail.docx", "A 1389-2021")</f>
        <v/>
      </c>
    </row>
    <row r="265" ht="15" customHeight="1">
      <c r="A265" t="inlineStr">
        <is>
          <t>A 20918-2021</t>
        </is>
      </c>
      <c r="B265" s="1" t="n">
        <v>44319</v>
      </c>
      <c r="C265" s="1" t="n">
        <v>45217</v>
      </c>
      <c r="D265" t="inlineStr">
        <is>
          <t>DALARNAS LÄN</t>
        </is>
      </c>
      <c r="E265" t="inlineStr">
        <is>
          <t>MALUNG-SÄLEN</t>
        </is>
      </c>
      <c r="G265" t="n">
        <v>41.2</v>
      </c>
      <c r="H265" t="n">
        <v>0</v>
      </c>
      <c r="I265" t="n">
        <v>0</v>
      </c>
      <c r="J265" t="n">
        <v>2</v>
      </c>
      <c r="K265" t="n">
        <v>0</v>
      </c>
      <c r="L265" t="n">
        <v>0</v>
      </c>
      <c r="M265" t="n">
        <v>0</v>
      </c>
      <c r="N265" t="n">
        <v>0</v>
      </c>
      <c r="O265" t="n">
        <v>2</v>
      </c>
      <c r="P265" t="n">
        <v>0</v>
      </c>
      <c r="Q265" t="n">
        <v>2</v>
      </c>
      <c r="R265" s="2" t="inlineStr">
        <is>
          <t>Gammelgransskål
Garnlav</t>
        </is>
      </c>
      <c r="S265">
        <f>HYPERLINK("https://klasma.github.io/Logging_2023/artfynd/A 20918-2021 artfynd.xlsx", "A 20918-2021")</f>
        <v/>
      </c>
      <c r="T265">
        <f>HYPERLINK("https://klasma.github.io/Logging_2023/kartor/A 20918-2021 karta.png", "A 20918-2021")</f>
        <v/>
      </c>
      <c r="V265">
        <f>HYPERLINK("https://klasma.github.io/Logging_2023/klagomål/A 20918-2021 FSC-klagomål.docx", "A 20918-2021")</f>
        <v/>
      </c>
      <c r="W265">
        <f>HYPERLINK("https://klasma.github.io/Logging_2023/klagomålsmail/A 20918-2021 FSC-klagomål mail.docx", "A 20918-2021")</f>
        <v/>
      </c>
      <c r="X265">
        <f>HYPERLINK("https://klasma.github.io/Logging_2023/tillsyn/A 20918-2021 tillsynsbegäran.docx", "A 20918-2021")</f>
        <v/>
      </c>
      <c r="Y265">
        <f>HYPERLINK("https://klasma.github.io/Logging_2023/tillsynsmail/A 20918-2021 tillsynsbegäran mail.docx", "A 20918-2021")</f>
        <v/>
      </c>
    </row>
    <row r="266" ht="15" customHeight="1">
      <c r="A266" t="inlineStr">
        <is>
          <t>A 21403-2021</t>
        </is>
      </c>
      <c r="B266" s="1" t="n">
        <v>44321</v>
      </c>
      <c r="C266" s="1" t="n">
        <v>45217</v>
      </c>
      <c r="D266" t="inlineStr">
        <is>
          <t>DALARNAS LÄN</t>
        </is>
      </c>
      <c r="E266" t="inlineStr">
        <is>
          <t>SMEDJEBACKEN</t>
        </is>
      </c>
      <c r="G266" t="n">
        <v>1.6</v>
      </c>
      <c r="H266" t="n">
        <v>1</v>
      </c>
      <c r="I266" t="n">
        <v>0</v>
      </c>
      <c r="J266" t="n">
        <v>1</v>
      </c>
      <c r="K266" t="n">
        <v>0</v>
      </c>
      <c r="L266" t="n">
        <v>0</v>
      </c>
      <c r="M266" t="n">
        <v>0</v>
      </c>
      <c r="N266" t="n">
        <v>0</v>
      </c>
      <c r="O266" t="n">
        <v>1</v>
      </c>
      <c r="P266" t="n">
        <v>0</v>
      </c>
      <c r="Q266" t="n">
        <v>2</v>
      </c>
      <c r="R266" s="2" t="inlineStr">
        <is>
          <t>Motaggsvamp
Blåsippa</t>
        </is>
      </c>
      <c r="S266">
        <f>HYPERLINK("https://klasma.github.io/Logging_2061/artfynd/A 21403-2021 artfynd.xlsx", "A 21403-2021")</f>
        <v/>
      </c>
      <c r="T266">
        <f>HYPERLINK("https://klasma.github.io/Logging_2061/kartor/A 21403-2021 karta.png", "A 21403-2021")</f>
        <v/>
      </c>
      <c r="V266">
        <f>HYPERLINK("https://klasma.github.io/Logging_2061/klagomål/A 21403-2021 FSC-klagomål.docx", "A 21403-2021")</f>
        <v/>
      </c>
      <c r="W266">
        <f>HYPERLINK("https://klasma.github.io/Logging_2061/klagomålsmail/A 21403-2021 FSC-klagomål mail.docx", "A 21403-2021")</f>
        <v/>
      </c>
      <c r="X266">
        <f>HYPERLINK("https://klasma.github.io/Logging_2061/tillsyn/A 21403-2021 tillsynsbegäran.docx", "A 21403-2021")</f>
        <v/>
      </c>
      <c r="Y266">
        <f>HYPERLINK("https://klasma.github.io/Logging_2061/tillsynsmail/A 21403-2021 tillsynsbegäran mail.docx", "A 21403-2021")</f>
        <v/>
      </c>
    </row>
    <row r="267" ht="15" customHeight="1">
      <c r="A267" t="inlineStr">
        <is>
          <t>A 21885-2021</t>
        </is>
      </c>
      <c r="B267" s="1" t="n">
        <v>44322</v>
      </c>
      <c r="C267" s="1" t="n">
        <v>45217</v>
      </c>
      <c r="D267" t="inlineStr">
        <is>
          <t>DALARNAS LÄN</t>
        </is>
      </c>
      <c r="E267" t="inlineStr">
        <is>
          <t>LUDVIKA</t>
        </is>
      </c>
      <c r="F267" t="inlineStr">
        <is>
          <t>Bergvik skog väst AB</t>
        </is>
      </c>
      <c r="G267" t="n">
        <v>4.8</v>
      </c>
      <c r="H267" t="n">
        <v>0</v>
      </c>
      <c r="I267" t="n">
        <v>0</v>
      </c>
      <c r="J267" t="n">
        <v>1</v>
      </c>
      <c r="K267" t="n">
        <v>1</v>
      </c>
      <c r="L267" t="n">
        <v>0</v>
      </c>
      <c r="M267" t="n">
        <v>0</v>
      </c>
      <c r="N267" t="n">
        <v>0</v>
      </c>
      <c r="O267" t="n">
        <v>2</v>
      </c>
      <c r="P267" t="n">
        <v>1</v>
      </c>
      <c r="Q267" t="n">
        <v>2</v>
      </c>
      <c r="R267" s="2" t="inlineStr">
        <is>
          <t>Allékantlav
Veckticka</t>
        </is>
      </c>
      <c r="S267">
        <f>HYPERLINK("https://klasma.github.io/Logging_2085/artfynd/A 21885-2021 artfynd.xlsx", "A 21885-2021")</f>
        <v/>
      </c>
      <c r="T267">
        <f>HYPERLINK("https://klasma.github.io/Logging_2085/kartor/A 21885-2021 karta.png", "A 21885-2021")</f>
        <v/>
      </c>
      <c r="V267">
        <f>HYPERLINK("https://klasma.github.io/Logging_2085/klagomål/A 21885-2021 FSC-klagomål.docx", "A 21885-2021")</f>
        <v/>
      </c>
      <c r="W267">
        <f>HYPERLINK("https://klasma.github.io/Logging_2085/klagomålsmail/A 21885-2021 FSC-klagomål mail.docx", "A 21885-2021")</f>
        <v/>
      </c>
      <c r="X267">
        <f>HYPERLINK("https://klasma.github.io/Logging_2085/tillsyn/A 21885-2021 tillsynsbegäran.docx", "A 21885-2021")</f>
        <v/>
      </c>
      <c r="Y267">
        <f>HYPERLINK("https://klasma.github.io/Logging_2085/tillsynsmail/A 21885-2021 tillsynsbegäran mail.docx", "A 21885-2021")</f>
        <v/>
      </c>
    </row>
    <row r="268" ht="15" customHeight="1">
      <c r="A268" t="inlineStr">
        <is>
          <t>A 28066-2021</t>
        </is>
      </c>
      <c r="B268" s="1" t="n">
        <v>44355</v>
      </c>
      <c r="C268" s="1" t="n">
        <v>45217</v>
      </c>
      <c r="D268" t="inlineStr">
        <is>
          <t>DALARNAS LÄN</t>
        </is>
      </c>
      <c r="E268" t="inlineStr">
        <is>
          <t>HEDEMORA</t>
        </is>
      </c>
      <c r="F268" t="inlineStr">
        <is>
          <t>Sveaskog</t>
        </is>
      </c>
      <c r="G268" t="n">
        <v>1.7</v>
      </c>
      <c r="H268" t="n">
        <v>1</v>
      </c>
      <c r="I268" t="n">
        <v>1</v>
      </c>
      <c r="J268" t="n">
        <v>0</v>
      </c>
      <c r="K268" t="n">
        <v>0</v>
      </c>
      <c r="L268" t="n">
        <v>0</v>
      </c>
      <c r="M268" t="n">
        <v>0</v>
      </c>
      <c r="N268" t="n">
        <v>0</v>
      </c>
      <c r="O268" t="n">
        <v>0</v>
      </c>
      <c r="P268" t="n">
        <v>0</v>
      </c>
      <c r="Q268" t="n">
        <v>2</v>
      </c>
      <c r="R268" s="2" t="inlineStr">
        <is>
          <t>Bronshjon
Vanlig groda</t>
        </is>
      </c>
      <c r="S268">
        <f>HYPERLINK("https://klasma.github.io/Logging_2083/artfynd/A 28066-2021 artfynd.xlsx", "A 28066-2021")</f>
        <v/>
      </c>
      <c r="T268">
        <f>HYPERLINK("https://klasma.github.io/Logging_2083/kartor/A 28066-2021 karta.png", "A 28066-2021")</f>
        <v/>
      </c>
      <c r="V268">
        <f>HYPERLINK("https://klasma.github.io/Logging_2083/klagomål/A 28066-2021 FSC-klagomål.docx", "A 28066-2021")</f>
        <v/>
      </c>
      <c r="W268">
        <f>HYPERLINK("https://klasma.github.io/Logging_2083/klagomålsmail/A 28066-2021 FSC-klagomål mail.docx", "A 28066-2021")</f>
        <v/>
      </c>
      <c r="X268">
        <f>HYPERLINK("https://klasma.github.io/Logging_2083/tillsyn/A 28066-2021 tillsynsbegäran.docx", "A 28066-2021")</f>
        <v/>
      </c>
      <c r="Y268">
        <f>HYPERLINK("https://klasma.github.io/Logging_2083/tillsynsmail/A 28066-2021 tillsynsbegäran mail.docx", "A 28066-2021")</f>
        <v/>
      </c>
    </row>
    <row r="269" ht="15" customHeight="1">
      <c r="A269" t="inlineStr">
        <is>
          <t>A 30615-2021</t>
        </is>
      </c>
      <c r="B269" s="1" t="n">
        <v>44365</v>
      </c>
      <c r="C269" s="1" t="n">
        <v>45217</v>
      </c>
      <c r="D269" t="inlineStr">
        <is>
          <t>DALARNAS LÄN</t>
        </is>
      </c>
      <c r="E269" t="inlineStr">
        <is>
          <t>ÄLVDALEN</t>
        </is>
      </c>
      <c r="F269" t="inlineStr">
        <is>
          <t>Sveaskog</t>
        </is>
      </c>
      <c r="G269" t="n">
        <v>22.8</v>
      </c>
      <c r="H269" t="n">
        <v>0</v>
      </c>
      <c r="I269" t="n">
        <v>1</v>
      </c>
      <c r="J269" t="n">
        <v>0</v>
      </c>
      <c r="K269" t="n">
        <v>1</v>
      </c>
      <c r="L269" t="n">
        <v>0</v>
      </c>
      <c r="M269" t="n">
        <v>0</v>
      </c>
      <c r="N269" t="n">
        <v>0</v>
      </c>
      <c r="O269" t="n">
        <v>1</v>
      </c>
      <c r="P269" t="n">
        <v>1</v>
      </c>
      <c r="Q269" t="n">
        <v>2</v>
      </c>
      <c r="R269" s="2" t="inlineStr">
        <is>
          <t>Smalfotad taggsvamp
Dropptaggsvamp</t>
        </is>
      </c>
      <c r="S269">
        <f>HYPERLINK("https://klasma.github.io/Logging_2039/artfynd/A 30615-2021 artfynd.xlsx", "A 30615-2021")</f>
        <v/>
      </c>
      <c r="T269">
        <f>HYPERLINK("https://klasma.github.io/Logging_2039/kartor/A 30615-2021 karta.png", "A 30615-2021")</f>
        <v/>
      </c>
      <c r="V269">
        <f>HYPERLINK("https://klasma.github.io/Logging_2039/klagomål/A 30615-2021 FSC-klagomål.docx", "A 30615-2021")</f>
        <v/>
      </c>
      <c r="W269">
        <f>HYPERLINK("https://klasma.github.io/Logging_2039/klagomålsmail/A 30615-2021 FSC-klagomål mail.docx", "A 30615-2021")</f>
        <v/>
      </c>
      <c r="X269">
        <f>HYPERLINK("https://klasma.github.io/Logging_2039/tillsyn/A 30615-2021 tillsynsbegäran.docx", "A 30615-2021")</f>
        <v/>
      </c>
      <c r="Y269">
        <f>HYPERLINK("https://klasma.github.io/Logging_2039/tillsynsmail/A 30615-2021 tillsynsbegäran mail.docx", "A 30615-2021")</f>
        <v/>
      </c>
    </row>
    <row r="270" ht="15" customHeight="1">
      <c r="A270" t="inlineStr">
        <is>
          <t>A 34361-2021</t>
        </is>
      </c>
      <c r="B270" s="1" t="n">
        <v>44379</v>
      </c>
      <c r="C270" s="1" t="n">
        <v>45217</v>
      </c>
      <c r="D270" t="inlineStr">
        <is>
          <t>DALARNAS LÄN</t>
        </is>
      </c>
      <c r="E270" t="inlineStr">
        <is>
          <t>HEDEMORA</t>
        </is>
      </c>
      <c r="F270" t="inlineStr">
        <is>
          <t>Sveaskog</t>
        </is>
      </c>
      <c r="G270" t="n">
        <v>1</v>
      </c>
      <c r="H270" t="n">
        <v>1</v>
      </c>
      <c r="I270" t="n">
        <v>0</v>
      </c>
      <c r="J270" t="n">
        <v>1</v>
      </c>
      <c r="K270" t="n">
        <v>1</v>
      </c>
      <c r="L270" t="n">
        <v>0</v>
      </c>
      <c r="M270" t="n">
        <v>0</v>
      </c>
      <c r="N270" t="n">
        <v>0</v>
      </c>
      <c r="O270" t="n">
        <v>2</v>
      </c>
      <c r="P270" t="n">
        <v>1</v>
      </c>
      <c r="Q270" t="n">
        <v>2</v>
      </c>
      <c r="R270" s="2" t="inlineStr">
        <is>
          <t>Knärot
Dofttaggsvamp</t>
        </is>
      </c>
      <c r="S270">
        <f>HYPERLINK("https://klasma.github.io/Logging_2083/artfynd/A 34361-2021 artfynd.xlsx", "A 34361-2021")</f>
        <v/>
      </c>
      <c r="T270">
        <f>HYPERLINK("https://klasma.github.io/Logging_2083/kartor/A 34361-2021 karta.png", "A 34361-2021")</f>
        <v/>
      </c>
      <c r="U270">
        <f>HYPERLINK("https://klasma.github.io/Logging_2083/knärot/A 34361-2021 karta knärot.png", "A 34361-2021")</f>
        <v/>
      </c>
      <c r="V270">
        <f>HYPERLINK("https://klasma.github.io/Logging_2083/klagomål/A 34361-2021 FSC-klagomål.docx", "A 34361-2021")</f>
        <v/>
      </c>
      <c r="W270">
        <f>HYPERLINK("https://klasma.github.io/Logging_2083/klagomålsmail/A 34361-2021 FSC-klagomål mail.docx", "A 34361-2021")</f>
        <v/>
      </c>
      <c r="X270">
        <f>HYPERLINK("https://klasma.github.io/Logging_2083/tillsyn/A 34361-2021 tillsynsbegäran.docx", "A 34361-2021")</f>
        <v/>
      </c>
      <c r="Y270">
        <f>HYPERLINK("https://klasma.github.io/Logging_2083/tillsynsmail/A 34361-2021 tillsynsbegäran mail.docx", "A 34361-2021")</f>
        <v/>
      </c>
    </row>
    <row r="271" ht="15" customHeight="1">
      <c r="A271" t="inlineStr">
        <is>
          <t>A 40537-2021</t>
        </is>
      </c>
      <c r="B271" s="1" t="n">
        <v>44420</v>
      </c>
      <c r="C271" s="1" t="n">
        <v>45217</v>
      </c>
      <c r="D271" t="inlineStr">
        <is>
          <t>DALARNAS LÄN</t>
        </is>
      </c>
      <c r="E271" t="inlineStr">
        <is>
          <t>SMEDJEBACKEN</t>
        </is>
      </c>
      <c r="F271" t="inlineStr">
        <is>
          <t>Övriga Aktiebolag</t>
        </is>
      </c>
      <c r="G271" t="n">
        <v>10</v>
      </c>
      <c r="H271" t="n">
        <v>2</v>
      </c>
      <c r="I271" t="n">
        <v>0</v>
      </c>
      <c r="J271" t="n">
        <v>1</v>
      </c>
      <c r="K271" t="n">
        <v>0</v>
      </c>
      <c r="L271" t="n">
        <v>0</v>
      </c>
      <c r="M271" t="n">
        <v>0</v>
      </c>
      <c r="N271" t="n">
        <v>0</v>
      </c>
      <c r="O271" t="n">
        <v>1</v>
      </c>
      <c r="P271" t="n">
        <v>0</v>
      </c>
      <c r="Q271" t="n">
        <v>2</v>
      </c>
      <c r="R271" s="2" t="inlineStr">
        <is>
          <t>Tretåig hackspett
Blåsippa</t>
        </is>
      </c>
      <c r="S271">
        <f>HYPERLINK("https://klasma.github.io/Logging_2061/artfynd/A 40537-2021 artfynd.xlsx", "A 40537-2021")</f>
        <v/>
      </c>
      <c r="T271">
        <f>HYPERLINK("https://klasma.github.io/Logging_2061/kartor/A 40537-2021 karta.png", "A 40537-2021")</f>
        <v/>
      </c>
      <c r="V271">
        <f>HYPERLINK("https://klasma.github.io/Logging_2061/klagomål/A 40537-2021 FSC-klagomål.docx", "A 40537-2021")</f>
        <v/>
      </c>
      <c r="W271">
        <f>HYPERLINK("https://klasma.github.io/Logging_2061/klagomålsmail/A 40537-2021 FSC-klagomål mail.docx", "A 40537-2021")</f>
        <v/>
      </c>
      <c r="X271">
        <f>HYPERLINK("https://klasma.github.io/Logging_2061/tillsyn/A 40537-2021 tillsynsbegäran.docx", "A 40537-2021")</f>
        <v/>
      </c>
      <c r="Y271">
        <f>HYPERLINK("https://klasma.github.io/Logging_2061/tillsynsmail/A 40537-2021 tillsynsbegäran mail.docx", "A 40537-2021")</f>
        <v/>
      </c>
    </row>
    <row r="272" ht="15" customHeight="1">
      <c r="A272" t="inlineStr">
        <is>
          <t>A 40578-2021</t>
        </is>
      </c>
      <c r="B272" s="1" t="n">
        <v>44420</v>
      </c>
      <c r="C272" s="1" t="n">
        <v>45217</v>
      </c>
      <c r="D272" t="inlineStr">
        <is>
          <t>DALARNAS LÄN</t>
        </is>
      </c>
      <c r="E272" t="inlineStr">
        <is>
          <t>BORLÄNGE</t>
        </is>
      </c>
      <c r="G272" t="n">
        <v>3.8</v>
      </c>
      <c r="H272" t="n">
        <v>2</v>
      </c>
      <c r="I272" t="n">
        <v>0</v>
      </c>
      <c r="J272" t="n">
        <v>0</v>
      </c>
      <c r="K272" t="n">
        <v>1</v>
      </c>
      <c r="L272" t="n">
        <v>0</v>
      </c>
      <c r="M272" t="n">
        <v>0</v>
      </c>
      <c r="N272" t="n">
        <v>0</v>
      </c>
      <c r="O272" t="n">
        <v>1</v>
      </c>
      <c r="P272" t="n">
        <v>1</v>
      </c>
      <c r="Q272" t="n">
        <v>2</v>
      </c>
      <c r="R272" s="2" t="inlineStr">
        <is>
          <t>Knärot
Revlummer</t>
        </is>
      </c>
      <c r="S272">
        <f>HYPERLINK("https://klasma.github.io/Logging_2081/artfynd/A 40578-2021 artfynd.xlsx", "A 40578-2021")</f>
        <v/>
      </c>
      <c r="T272">
        <f>HYPERLINK("https://klasma.github.io/Logging_2081/kartor/A 40578-2021 karta.png", "A 40578-2021")</f>
        <v/>
      </c>
      <c r="U272">
        <f>HYPERLINK("https://klasma.github.io/Logging_2081/knärot/A 40578-2021 karta knärot.png", "A 40578-2021")</f>
        <v/>
      </c>
      <c r="V272">
        <f>HYPERLINK("https://klasma.github.io/Logging_2081/klagomål/A 40578-2021 FSC-klagomål.docx", "A 40578-2021")</f>
        <v/>
      </c>
      <c r="W272">
        <f>HYPERLINK("https://klasma.github.io/Logging_2081/klagomålsmail/A 40578-2021 FSC-klagomål mail.docx", "A 40578-2021")</f>
        <v/>
      </c>
      <c r="X272">
        <f>HYPERLINK("https://klasma.github.io/Logging_2081/tillsyn/A 40578-2021 tillsynsbegäran.docx", "A 40578-2021")</f>
        <v/>
      </c>
      <c r="Y272">
        <f>HYPERLINK("https://klasma.github.io/Logging_2081/tillsynsmail/A 40578-2021 tillsynsbegäran mail.docx", "A 40578-2021")</f>
        <v/>
      </c>
    </row>
    <row r="273" ht="15" customHeight="1">
      <c r="A273" t="inlineStr">
        <is>
          <t>A 44407-2021</t>
        </is>
      </c>
      <c r="B273" s="1" t="n">
        <v>44435</v>
      </c>
      <c r="C273" s="1" t="n">
        <v>45217</v>
      </c>
      <c r="D273" t="inlineStr">
        <is>
          <t>DALARNAS LÄN</t>
        </is>
      </c>
      <c r="E273" t="inlineStr">
        <is>
          <t>ÄLVDALEN</t>
        </is>
      </c>
      <c r="F273" t="inlineStr">
        <is>
          <t>Sveaskog</t>
        </is>
      </c>
      <c r="G273" t="n">
        <v>4.4</v>
      </c>
      <c r="H273" t="n">
        <v>0</v>
      </c>
      <c r="I273" t="n">
        <v>1</v>
      </c>
      <c r="J273" t="n">
        <v>1</v>
      </c>
      <c r="K273" t="n">
        <v>0</v>
      </c>
      <c r="L273" t="n">
        <v>0</v>
      </c>
      <c r="M273" t="n">
        <v>0</v>
      </c>
      <c r="N273" t="n">
        <v>0</v>
      </c>
      <c r="O273" t="n">
        <v>1</v>
      </c>
      <c r="P273" t="n">
        <v>0</v>
      </c>
      <c r="Q273" t="n">
        <v>2</v>
      </c>
      <c r="R273" s="2" t="inlineStr">
        <is>
          <t>Garnlav
Dropptaggsvamp</t>
        </is>
      </c>
      <c r="S273">
        <f>HYPERLINK("https://klasma.github.io/Logging_2039/artfynd/A 44407-2021 artfynd.xlsx", "A 44407-2021")</f>
        <v/>
      </c>
      <c r="T273">
        <f>HYPERLINK("https://klasma.github.io/Logging_2039/kartor/A 44407-2021 karta.png", "A 44407-2021")</f>
        <v/>
      </c>
      <c r="V273">
        <f>HYPERLINK("https://klasma.github.io/Logging_2039/klagomål/A 44407-2021 FSC-klagomål.docx", "A 44407-2021")</f>
        <v/>
      </c>
      <c r="W273">
        <f>HYPERLINK("https://klasma.github.io/Logging_2039/klagomålsmail/A 44407-2021 FSC-klagomål mail.docx", "A 44407-2021")</f>
        <v/>
      </c>
      <c r="X273">
        <f>HYPERLINK("https://klasma.github.io/Logging_2039/tillsyn/A 44407-2021 tillsynsbegäran.docx", "A 44407-2021")</f>
        <v/>
      </c>
      <c r="Y273">
        <f>HYPERLINK("https://klasma.github.io/Logging_2039/tillsynsmail/A 44407-2021 tillsynsbegäran mail.docx", "A 44407-2021")</f>
        <v/>
      </c>
    </row>
    <row r="274" ht="15" customHeight="1">
      <c r="A274" t="inlineStr">
        <is>
          <t>A 45884-2021</t>
        </is>
      </c>
      <c r="B274" s="1" t="n">
        <v>44441</v>
      </c>
      <c r="C274" s="1" t="n">
        <v>45217</v>
      </c>
      <c r="D274" t="inlineStr">
        <is>
          <t>DALARNAS LÄN</t>
        </is>
      </c>
      <c r="E274" t="inlineStr">
        <is>
          <t>HEDEMORA</t>
        </is>
      </c>
      <c r="G274" t="n">
        <v>0.9</v>
      </c>
      <c r="H274" t="n">
        <v>1</v>
      </c>
      <c r="I274" t="n">
        <v>1</v>
      </c>
      <c r="J274" t="n">
        <v>0</v>
      </c>
      <c r="K274" t="n">
        <v>1</v>
      </c>
      <c r="L274" t="n">
        <v>0</v>
      </c>
      <c r="M274" t="n">
        <v>0</v>
      </c>
      <c r="N274" t="n">
        <v>0</v>
      </c>
      <c r="O274" t="n">
        <v>1</v>
      </c>
      <c r="P274" t="n">
        <v>1</v>
      </c>
      <c r="Q274" t="n">
        <v>2</v>
      </c>
      <c r="R274" s="2" t="inlineStr">
        <is>
          <t>Knärot
Bollvitmossa</t>
        </is>
      </c>
      <c r="S274">
        <f>HYPERLINK("https://klasma.github.io/Logging_2083/artfynd/A 45884-2021 artfynd.xlsx", "A 45884-2021")</f>
        <v/>
      </c>
      <c r="T274">
        <f>HYPERLINK("https://klasma.github.io/Logging_2083/kartor/A 45884-2021 karta.png", "A 45884-2021")</f>
        <v/>
      </c>
      <c r="U274">
        <f>HYPERLINK("https://klasma.github.io/Logging_2083/knärot/A 45884-2021 karta knärot.png", "A 45884-2021")</f>
        <v/>
      </c>
      <c r="V274">
        <f>HYPERLINK("https://klasma.github.io/Logging_2083/klagomål/A 45884-2021 FSC-klagomål.docx", "A 45884-2021")</f>
        <v/>
      </c>
      <c r="W274">
        <f>HYPERLINK("https://klasma.github.io/Logging_2083/klagomålsmail/A 45884-2021 FSC-klagomål mail.docx", "A 45884-2021")</f>
        <v/>
      </c>
      <c r="X274">
        <f>HYPERLINK("https://klasma.github.io/Logging_2083/tillsyn/A 45884-2021 tillsynsbegäran.docx", "A 45884-2021")</f>
        <v/>
      </c>
      <c r="Y274">
        <f>HYPERLINK("https://klasma.github.io/Logging_2083/tillsynsmail/A 45884-2021 tillsynsbegäran mail.docx", "A 45884-2021")</f>
        <v/>
      </c>
    </row>
    <row r="275" ht="15" customHeight="1">
      <c r="A275" t="inlineStr">
        <is>
          <t>A 48937-2021</t>
        </is>
      </c>
      <c r="B275" s="1" t="n">
        <v>44453</v>
      </c>
      <c r="C275" s="1" t="n">
        <v>45217</v>
      </c>
      <c r="D275" t="inlineStr">
        <is>
          <t>DALARNAS LÄN</t>
        </is>
      </c>
      <c r="E275" t="inlineStr">
        <is>
          <t>BORLÄNGE</t>
        </is>
      </c>
      <c r="G275" t="n">
        <v>19.7</v>
      </c>
      <c r="H275" t="n">
        <v>1</v>
      </c>
      <c r="I275" t="n">
        <v>0</v>
      </c>
      <c r="J275" t="n">
        <v>1</v>
      </c>
      <c r="K275" t="n">
        <v>1</v>
      </c>
      <c r="L275" t="n">
        <v>0</v>
      </c>
      <c r="M275" t="n">
        <v>0</v>
      </c>
      <c r="N275" t="n">
        <v>0</v>
      </c>
      <c r="O275" t="n">
        <v>2</v>
      </c>
      <c r="P275" t="n">
        <v>1</v>
      </c>
      <c r="Q275" t="n">
        <v>2</v>
      </c>
      <c r="R275" s="2" t="inlineStr">
        <is>
          <t>Knärot
Motaggsvamp</t>
        </is>
      </c>
      <c r="S275">
        <f>HYPERLINK("https://klasma.github.io/Logging_2081/artfynd/A 48937-2021 artfynd.xlsx", "A 48937-2021")</f>
        <v/>
      </c>
      <c r="T275">
        <f>HYPERLINK("https://klasma.github.io/Logging_2081/kartor/A 48937-2021 karta.png", "A 48937-2021")</f>
        <v/>
      </c>
      <c r="U275">
        <f>HYPERLINK("https://klasma.github.io/Logging_2081/knärot/A 48937-2021 karta knärot.png", "A 48937-2021")</f>
        <v/>
      </c>
      <c r="V275">
        <f>HYPERLINK("https://klasma.github.io/Logging_2081/klagomål/A 48937-2021 FSC-klagomål.docx", "A 48937-2021")</f>
        <v/>
      </c>
      <c r="W275">
        <f>HYPERLINK("https://klasma.github.io/Logging_2081/klagomålsmail/A 48937-2021 FSC-klagomål mail.docx", "A 48937-2021")</f>
        <v/>
      </c>
      <c r="X275">
        <f>HYPERLINK("https://klasma.github.io/Logging_2081/tillsyn/A 48937-2021 tillsynsbegäran.docx", "A 48937-2021")</f>
        <v/>
      </c>
      <c r="Y275">
        <f>HYPERLINK("https://klasma.github.io/Logging_2081/tillsynsmail/A 48937-2021 tillsynsbegäran mail.docx", "A 48937-2021")</f>
        <v/>
      </c>
    </row>
    <row r="276" ht="15" customHeight="1">
      <c r="A276" t="inlineStr">
        <is>
          <t>A 51992-2021</t>
        </is>
      </c>
      <c r="B276" s="1" t="n">
        <v>44463</v>
      </c>
      <c r="C276" s="1" t="n">
        <v>45217</v>
      </c>
      <c r="D276" t="inlineStr">
        <is>
          <t>DALARNAS LÄN</t>
        </is>
      </c>
      <c r="E276" t="inlineStr">
        <is>
          <t>BORLÄNGE</t>
        </is>
      </c>
      <c r="F276" t="inlineStr">
        <is>
          <t>Bergvik skog väst AB</t>
        </is>
      </c>
      <c r="G276" t="n">
        <v>2</v>
      </c>
      <c r="H276" t="n">
        <v>1</v>
      </c>
      <c r="I276" t="n">
        <v>2</v>
      </c>
      <c r="J276" t="n">
        <v>0</v>
      </c>
      <c r="K276" t="n">
        <v>0</v>
      </c>
      <c r="L276" t="n">
        <v>0</v>
      </c>
      <c r="M276" t="n">
        <v>0</v>
      </c>
      <c r="N276" t="n">
        <v>0</v>
      </c>
      <c r="O276" t="n">
        <v>0</v>
      </c>
      <c r="P276" t="n">
        <v>0</v>
      </c>
      <c r="Q276" t="n">
        <v>2</v>
      </c>
      <c r="R276" s="2" t="inlineStr">
        <is>
          <t>Korallrot
Rödgul trumpetsvamp</t>
        </is>
      </c>
      <c r="S276">
        <f>HYPERLINK("https://klasma.github.io/Logging_2081/artfynd/A 51992-2021 artfynd.xlsx", "A 51992-2021")</f>
        <v/>
      </c>
      <c r="T276">
        <f>HYPERLINK("https://klasma.github.io/Logging_2081/kartor/A 51992-2021 karta.png", "A 51992-2021")</f>
        <v/>
      </c>
      <c r="V276">
        <f>HYPERLINK("https://klasma.github.io/Logging_2081/klagomål/A 51992-2021 FSC-klagomål.docx", "A 51992-2021")</f>
        <v/>
      </c>
      <c r="W276">
        <f>HYPERLINK("https://klasma.github.io/Logging_2081/klagomålsmail/A 51992-2021 FSC-klagomål mail.docx", "A 51992-2021")</f>
        <v/>
      </c>
      <c r="X276">
        <f>HYPERLINK("https://klasma.github.io/Logging_2081/tillsyn/A 51992-2021 tillsynsbegäran.docx", "A 51992-2021")</f>
        <v/>
      </c>
      <c r="Y276">
        <f>HYPERLINK("https://klasma.github.io/Logging_2081/tillsynsmail/A 51992-2021 tillsynsbegäran mail.docx", "A 51992-2021")</f>
        <v/>
      </c>
    </row>
    <row r="277" ht="15" customHeight="1">
      <c r="A277" t="inlineStr">
        <is>
          <t>A 54632-2021</t>
        </is>
      </c>
      <c r="B277" s="1" t="n">
        <v>44473</v>
      </c>
      <c r="C277" s="1" t="n">
        <v>45217</v>
      </c>
      <c r="D277" t="inlineStr">
        <is>
          <t>DALARNAS LÄN</t>
        </is>
      </c>
      <c r="E277" t="inlineStr">
        <is>
          <t>ÄLVDALEN</t>
        </is>
      </c>
      <c r="G277" t="n">
        <v>4.8</v>
      </c>
      <c r="H277" t="n">
        <v>1</v>
      </c>
      <c r="I277" t="n">
        <v>0</v>
      </c>
      <c r="J277" t="n">
        <v>2</v>
      </c>
      <c r="K277" t="n">
        <v>0</v>
      </c>
      <c r="L277" t="n">
        <v>0</v>
      </c>
      <c r="M277" t="n">
        <v>0</v>
      </c>
      <c r="N277" t="n">
        <v>0</v>
      </c>
      <c r="O277" t="n">
        <v>2</v>
      </c>
      <c r="P277" t="n">
        <v>0</v>
      </c>
      <c r="Q277" t="n">
        <v>2</v>
      </c>
      <c r="R277" s="2" t="inlineStr">
        <is>
          <t>Varglav
Vedflamlav</t>
        </is>
      </c>
      <c r="S277">
        <f>HYPERLINK("https://klasma.github.io/Logging_2039/artfynd/A 54632-2021 artfynd.xlsx", "A 54632-2021")</f>
        <v/>
      </c>
      <c r="T277">
        <f>HYPERLINK("https://klasma.github.io/Logging_2039/kartor/A 54632-2021 karta.png", "A 54632-2021")</f>
        <v/>
      </c>
      <c r="V277">
        <f>HYPERLINK("https://klasma.github.io/Logging_2039/klagomål/A 54632-2021 FSC-klagomål.docx", "A 54632-2021")</f>
        <v/>
      </c>
      <c r="W277">
        <f>HYPERLINK("https://klasma.github.io/Logging_2039/klagomålsmail/A 54632-2021 FSC-klagomål mail.docx", "A 54632-2021")</f>
        <v/>
      </c>
      <c r="X277">
        <f>HYPERLINK("https://klasma.github.io/Logging_2039/tillsyn/A 54632-2021 tillsynsbegäran.docx", "A 54632-2021")</f>
        <v/>
      </c>
      <c r="Y277">
        <f>HYPERLINK("https://klasma.github.io/Logging_2039/tillsynsmail/A 54632-2021 tillsynsbegäran mail.docx", "A 54632-2021")</f>
        <v/>
      </c>
    </row>
    <row r="278" ht="15" customHeight="1">
      <c r="A278" t="inlineStr">
        <is>
          <t>A 55519-2021</t>
        </is>
      </c>
      <c r="B278" s="1" t="n">
        <v>44475</v>
      </c>
      <c r="C278" s="1" t="n">
        <v>45217</v>
      </c>
      <c r="D278" t="inlineStr">
        <is>
          <t>DALARNAS LÄN</t>
        </is>
      </c>
      <c r="E278" t="inlineStr">
        <is>
          <t>LEKSAND</t>
        </is>
      </c>
      <c r="G278" t="n">
        <v>1.8</v>
      </c>
      <c r="H278" t="n">
        <v>2</v>
      </c>
      <c r="I278" t="n">
        <v>0</v>
      </c>
      <c r="J278" t="n">
        <v>0</v>
      </c>
      <c r="K278" t="n">
        <v>0</v>
      </c>
      <c r="L278" t="n">
        <v>0</v>
      </c>
      <c r="M278" t="n">
        <v>0</v>
      </c>
      <c r="N278" t="n">
        <v>0</v>
      </c>
      <c r="O278" t="n">
        <v>0</v>
      </c>
      <c r="P278" t="n">
        <v>0</v>
      </c>
      <c r="Q278" t="n">
        <v>2</v>
      </c>
      <c r="R278" s="2" t="inlineStr">
        <is>
          <t>Fläcknycklar
Mattlummer</t>
        </is>
      </c>
      <c r="S278">
        <f>HYPERLINK("https://klasma.github.io/Logging_2029/artfynd/A 55519-2021 artfynd.xlsx", "A 55519-2021")</f>
        <v/>
      </c>
      <c r="T278">
        <f>HYPERLINK("https://klasma.github.io/Logging_2029/kartor/A 55519-2021 karta.png", "A 55519-2021")</f>
        <v/>
      </c>
      <c r="V278">
        <f>HYPERLINK("https://klasma.github.io/Logging_2029/klagomål/A 55519-2021 FSC-klagomål.docx", "A 55519-2021")</f>
        <v/>
      </c>
      <c r="W278">
        <f>HYPERLINK("https://klasma.github.io/Logging_2029/klagomålsmail/A 55519-2021 FSC-klagomål mail.docx", "A 55519-2021")</f>
        <v/>
      </c>
      <c r="X278">
        <f>HYPERLINK("https://klasma.github.io/Logging_2029/tillsyn/A 55519-2021 tillsynsbegäran.docx", "A 55519-2021")</f>
        <v/>
      </c>
      <c r="Y278">
        <f>HYPERLINK("https://klasma.github.io/Logging_2029/tillsynsmail/A 55519-2021 tillsynsbegäran mail.docx", "A 55519-2021")</f>
        <v/>
      </c>
    </row>
    <row r="279" ht="15" customHeight="1">
      <c r="A279" t="inlineStr">
        <is>
          <t>A 56632-2021</t>
        </is>
      </c>
      <c r="B279" s="1" t="n">
        <v>44480</v>
      </c>
      <c r="C279" s="1" t="n">
        <v>45217</v>
      </c>
      <c r="D279" t="inlineStr">
        <is>
          <t>DALARNAS LÄN</t>
        </is>
      </c>
      <c r="E279" t="inlineStr">
        <is>
          <t>LUDVIKA</t>
        </is>
      </c>
      <c r="G279" t="n">
        <v>17.1</v>
      </c>
      <c r="H279" t="n">
        <v>0</v>
      </c>
      <c r="I279" t="n">
        <v>2</v>
      </c>
      <c r="J279" t="n">
        <v>0</v>
      </c>
      <c r="K279" t="n">
        <v>0</v>
      </c>
      <c r="L279" t="n">
        <v>0</v>
      </c>
      <c r="M279" t="n">
        <v>0</v>
      </c>
      <c r="N279" t="n">
        <v>0</v>
      </c>
      <c r="O279" t="n">
        <v>0</v>
      </c>
      <c r="P279" t="n">
        <v>0</v>
      </c>
      <c r="Q279" t="n">
        <v>2</v>
      </c>
      <c r="R279" s="2" t="inlineStr">
        <is>
          <t>Gräsull
Skinnlav</t>
        </is>
      </c>
      <c r="S279">
        <f>HYPERLINK("https://klasma.github.io/Logging_2085/artfynd/A 56632-2021 artfynd.xlsx", "A 56632-2021")</f>
        <v/>
      </c>
      <c r="T279">
        <f>HYPERLINK("https://klasma.github.io/Logging_2085/kartor/A 56632-2021 karta.png", "A 56632-2021")</f>
        <v/>
      </c>
      <c r="V279">
        <f>HYPERLINK("https://klasma.github.io/Logging_2085/klagomål/A 56632-2021 FSC-klagomål.docx", "A 56632-2021")</f>
        <v/>
      </c>
      <c r="W279">
        <f>HYPERLINK("https://klasma.github.io/Logging_2085/klagomålsmail/A 56632-2021 FSC-klagomål mail.docx", "A 56632-2021")</f>
        <v/>
      </c>
      <c r="X279">
        <f>HYPERLINK("https://klasma.github.io/Logging_2085/tillsyn/A 56632-2021 tillsynsbegäran.docx", "A 56632-2021")</f>
        <v/>
      </c>
      <c r="Y279">
        <f>HYPERLINK("https://klasma.github.io/Logging_2085/tillsynsmail/A 56632-2021 tillsynsbegäran mail.docx", "A 56632-2021")</f>
        <v/>
      </c>
    </row>
    <row r="280" ht="15" customHeight="1">
      <c r="A280" t="inlineStr">
        <is>
          <t>A 59701-2021</t>
        </is>
      </c>
      <c r="B280" s="1" t="n">
        <v>44494</v>
      </c>
      <c r="C280" s="1" t="n">
        <v>45217</v>
      </c>
      <c r="D280" t="inlineStr">
        <is>
          <t>DALARNAS LÄN</t>
        </is>
      </c>
      <c r="E280" t="inlineStr">
        <is>
          <t>BORLÄNGE</t>
        </is>
      </c>
      <c r="G280" t="n">
        <v>3.9</v>
      </c>
      <c r="H280" t="n">
        <v>0</v>
      </c>
      <c r="I280" t="n">
        <v>1</v>
      </c>
      <c r="J280" t="n">
        <v>1</v>
      </c>
      <c r="K280" t="n">
        <v>0</v>
      </c>
      <c r="L280" t="n">
        <v>0</v>
      </c>
      <c r="M280" t="n">
        <v>0</v>
      </c>
      <c r="N280" t="n">
        <v>0</v>
      </c>
      <c r="O280" t="n">
        <v>1</v>
      </c>
      <c r="P280" t="n">
        <v>0</v>
      </c>
      <c r="Q280" t="n">
        <v>2</v>
      </c>
      <c r="R280" s="2" t="inlineStr">
        <is>
          <t>Ullticka
Svavelriska</t>
        </is>
      </c>
      <c r="S280">
        <f>HYPERLINK("https://klasma.github.io/Logging_2081/artfynd/A 59701-2021 artfynd.xlsx", "A 59701-2021")</f>
        <v/>
      </c>
      <c r="T280">
        <f>HYPERLINK("https://klasma.github.io/Logging_2081/kartor/A 59701-2021 karta.png", "A 59701-2021")</f>
        <v/>
      </c>
      <c r="V280">
        <f>HYPERLINK("https://klasma.github.io/Logging_2081/klagomål/A 59701-2021 FSC-klagomål.docx", "A 59701-2021")</f>
        <v/>
      </c>
      <c r="W280">
        <f>HYPERLINK("https://klasma.github.io/Logging_2081/klagomålsmail/A 59701-2021 FSC-klagomål mail.docx", "A 59701-2021")</f>
        <v/>
      </c>
      <c r="X280">
        <f>HYPERLINK("https://klasma.github.io/Logging_2081/tillsyn/A 59701-2021 tillsynsbegäran.docx", "A 59701-2021")</f>
        <v/>
      </c>
      <c r="Y280">
        <f>HYPERLINK("https://klasma.github.io/Logging_2081/tillsynsmail/A 59701-2021 tillsynsbegäran mail.docx", "A 59701-2021")</f>
        <v/>
      </c>
    </row>
    <row r="281" ht="15" customHeight="1">
      <c r="A281" t="inlineStr">
        <is>
          <t>A 63118-2021</t>
        </is>
      </c>
      <c r="B281" s="1" t="n">
        <v>44505</v>
      </c>
      <c r="C281" s="1" t="n">
        <v>45217</v>
      </c>
      <c r="D281" t="inlineStr">
        <is>
          <t>DALARNAS LÄN</t>
        </is>
      </c>
      <c r="E281" t="inlineStr">
        <is>
          <t>BORLÄNGE</t>
        </is>
      </c>
      <c r="G281" t="n">
        <v>11.9</v>
      </c>
      <c r="H281" t="n">
        <v>1</v>
      </c>
      <c r="I281" t="n">
        <v>1</v>
      </c>
      <c r="J281" t="n">
        <v>0</v>
      </c>
      <c r="K281" t="n">
        <v>1</v>
      </c>
      <c r="L281" t="n">
        <v>0</v>
      </c>
      <c r="M281" t="n">
        <v>0</v>
      </c>
      <c r="N281" t="n">
        <v>0</v>
      </c>
      <c r="O281" t="n">
        <v>1</v>
      </c>
      <c r="P281" t="n">
        <v>1</v>
      </c>
      <c r="Q281" t="n">
        <v>2</v>
      </c>
      <c r="R281" s="2" t="inlineStr">
        <is>
          <t>Knärot
Dropptaggsvamp</t>
        </is>
      </c>
      <c r="S281">
        <f>HYPERLINK("https://klasma.github.io/Logging_2081/artfynd/A 63118-2021 artfynd.xlsx", "A 63118-2021")</f>
        <v/>
      </c>
      <c r="T281">
        <f>HYPERLINK("https://klasma.github.io/Logging_2081/kartor/A 63118-2021 karta.png", "A 63118-2021")</f>
        <v/>
      </c>
      <c r="U281">
        <f>HYPERLINK("https://klasma.github.io/Logging_2081/knärot/A 63118-2021 karta knärot.png", "A 63118-2021")</f>
        <v/>
      </c>
      <c r="V281">
        <f>HYPERLINK("https://klasma.github.io/Logging_2081/klagomål/A 63118-2021 FSC-klagomål.docx", "A 63118-2021")</f>
        <v/>
      </c>
      <c r="W281">
        <f>HYPERLINK("https://klasma.github.io/Logging_2081/klagomålsmail/A 63118-2021 FSC-klagomål mail.docx", "A 63118-2021")</f>
        <v/>
      </c>
      <c r="X281">
        <f>HYPERLINK("https://klasma.github.io/Logging_2081/tillsyn/A 63118-2021 tillsynsbegäran.docx", "A 63118-2021")</f>
        <v/>
      </c>
      <c r="Y281">
        <f>HYPERLINK("https://klasma.github.io/Logging_2081/tillsynsmail/A 63118-2021 tillsynsbegäran mail.docx", "A 63118-2021")</f>
        <v/>
      </c>
    </row>
    <row r="282" ht="15" customHeight="1">
      <c r="A282" t="inlineStr">
        <is>
          <t>A 63810-2021</t>
        </is>
      </c>
      <c r="B282" s="1" t="n">
        <v>44509</v>
      </c>
      <c r="C282" s="1" t="n">
        <v>45217</v>
      </c>
      <c r="D282" t="inlineStr">
        <is>
          <t>DALARNAS LÄN</t>
        </is>
      </c>
      <c r="E282" t="inlineStr">
        <is>
          <t>ORSA</t>
        </is>
      </c>
      <c r="G282" t="n">
        <v>18.4</v>
      </c>
      <c r="H282" t="n">
        <v>0</v>
      </c>
      <c r="I282" t="n">
        <v>0</v>
      </c>
      <c r="J282" t="n">
        <v>2</v>
      </c>
      <c r="K282" t="n">
        <v>0</v>
      </c>
      <c r="L282" t="n">
        <v>0</v>
      </c>
      <c r="M282" t="n">
        <v>0</v>
      </c>
      <c r="N282" t="n">
        <v>0</v>
      </c>
      <c r="O282" t="n">
        <v>2</v>
      </c>
      <c r="P282" t="n">
        <v>0</v>
      </c>
      <c r="Q282" t="n">
        <v>2</v>
      </c>
      <c r="R282" s="2" t="inlineStr">
        <is>
          <t>Garnlav
Violettgrå tagellav</t>
        </is>
      </c>
      <c r="S282">
        <f>HYPERLINK("https://klasma.github.io/Logging_2034/artfynd/A 63810-2021 artfynd.xlsx", "A 63810-2021")</f>
        <v/>
      </c>
      <c r="T282">
        <f>HYPERLINK("https://klasma.github.io/Logging_2034/kartor/A 63810-2021 karta.png", "A 63810-2021")</f>
        <v/>
      </c>
      <c r="V282">
        <f>HYPERLINK("https://klasma.github.io/Logging_2034/klagomål/A 63810-2021 FSC-klagomål.docx", "A 63810-2021")</f>
        <v/>
      </c>
      <c r="W282">
        <f>HYPERLINK("https://klasma.github.io/Logging_2034/klagomålsmail/A 63810-2021 FSC-klagomål mail.docx", "A 63810-2021")</f>
        <v/>
      </c>
      <c r="X282">
        <f>HYPERLINK("https://klasma.github.io/Logging_2034/tillsyn/A 63810-2021 tillsynsbegäran.docx", "A 63810-2021")</f>
        <v/>
      </c>
      <c r="Y282">
        <f>HYPERLINK("https://klasma.github.io/Logging_2034/tillsynsmail/A 63810-2021 tillsynsbegäran mail.docx", "A 63810-2021")</f>
        <v/>
      </c>
    </row>
    <row r="283" ht="15" customHeight="1">
      <c r="A283" t="inlineStr">
        <is>
          <t>A 67709-2021</t>
        </is>
      </c>
      <c r="B283" s="1" t="n">
        <v>44525</v>
      </c>
      <c r="C283" s="1" t="n">
        <v>45217</v>
      </c>
      <c r="D283" t="inlineStr">
        <is>
          <t>DALARNAS LÄN</t>
        </is>
      </c>
      <c r="E283" t="inlineStr">
        <is>
          <t>ÄLVDALEN</t>
        </is>
      </c>
      <c r="F283" t="inlineStr">
        <is>
          <t>Sveaskog</t>
        </is>
      </c>
      <c r="G283" t="n">
        <v>4.4</v>
      </c>
      <c r="H283" t="n">
        <v>0</v>
      </c>
      <c r="I283" t="n">
        <v>2</v>
      </c>
      <c r="J283" t="n">
        <v>0</v>
      </c>
      <c r="K283" t="n">
        <v>0</v>
      </c>
      <c r="L283" t="n">
        <v>0</v>
      </c>
      <c r="M283" t="n">
        <v>0</v>
      </c>
      <c r="N283" t="n">
        <v>0</v>
      </c>
      <c r="O283" t="n">
        <v>0</v>
      </c>
      <c r="P283" t="n">
        <v>0</v>
      </c>
      <c r="Q283" t="n">
        <v>2</v>
      </c>
      <c r="R283" s="2" t="inlineStr">
        <is>
          <t>Dropptaggsvamp
Skarp dropptaggsvamp</t>
        </is>
      </c>
      <c r="S283">
        <f>HYPERLINK("https://klasma.github.io/Logging_2039/artfynd/A 67709-2021 artfynd.xlsx", "A 67709-2021")</f>
        <v/>
      </c>
      <c r="T283">
        <f>HYPERLINK("https://klasma.github.io/Logging_2039/kartor/A 67709-2021 karta.png", "A 67709-2021")</f>
        <v/>
      </c>
      <c r="V283">
        <f>HYPERLINK("https://klasma.github.io/Logging_2039/klagomål/A 67709-2021 FSC-klagomål.docx", "A 67709-2021")</f>
        <v/>
      </c>
      <c r="W283">
        <f>HYPERLINK("https://klasma.github.io/Logging_2039/klagomålsmail/A 67709-2021 FSC-klagomål mail.docx", "A 67709-2021")</f>
        <v/>
      </c>
      <c r="X283">
        <f>HYPERLINK("https://klasma.github.io/Logging_2039/tillsyn/A 67709-2021 tillsynsbegäran.docx", "A 67709-2021")</f>
        <v/>
      </c>
      <c r="Y283">
        <f>HYPERLINK("https://klasma.github.io/Logging_2039/tillsynsmail/A 67709-2021 tillsynsbegäran mail.docx", "A 67709-2021")</f>
        <v/>
      </c>
    </row>
    <row r="284" ht="15" customHeight="1">
      <c r="A284" t="inlineStr">
        <is>
          <t>A 1688-2022</t>
        </is>
      </c>
      <c r="B284" s="1" t="n">
        <v>44574</v>
      </c>
      <c r="C284" s="1" t="n">
        <v>45217</v>
      </c>
      <c r="D284" t="inlineStr">
        <is>
          <t>DALARNAS LÄN</t>
        </is>
      </c>
      <c r="E284" t="inlineStr">
        <is>
          <t>AVESTA</t>
        </is>
      </c>
      <c r="G284" t="n">
        <v>10</v>
      </c>
      <c r="H284" t="n">
        <v>2</v>
      </c>
      <c r="I284" t="n">
        <v>0</v>
      </c>
      <c r="J284" t="n">
        <v>1</v>
      </c>
      <c r="K284" t="n">
        <v>1</v>
      </c>
      <c r="L284" t="n">
        <v>0</v>
      </c>
      <c r="M284" t="n">
        <v>0</v>
      </c>
      <c r="N284" t="n">
        <v>0</v>
      </c>
      <c r="O284" t="n">
        <v>2</v>
      </c>
      <c r="P284" t="n">
        <v>1</v>
      </c>
      <c r="Q284" t="n">
        <v>2</v>
      </c>
      <c r="R284" s="2" t="inlineStr">
        <is>
          <t>Knärot
Spillkråka</t>
        </is>
      </c>
      <c r="S284">
        <f>HYPERLINK("https://klasma.github.io/Logging_2084/artfynd/A 1688-2022 artfynd.xlsx", "A 1688-2022")</f>
        <v/>
      </c>
      <c r="T284">
        <f>HYPERLINK("https://klasma.github.io/Logging_2084/kartor/A 1688-2022 karta.png", "A 1688-2022")</f>
        <v/>
      </c>
      <c r="U284">
        <f>HYPERLINK("https://klasma.github.io/Logging_2084/knärot/A 1688-2022 karta knärot.png", "A 1688-2022")</f>
        <v/>
      </c>
      <c r="V284">
        <f>HYPERLINK("https://klasma.github.io/Logging_2084/klagomål/A 1688-2022 FSC-klagomål.docx", "A 1688-2022")</f>
        <v/>
      </c>
      <c r="W284">
        <f>HYPERLINK("https://klasma.github.io/Logging_2084/klagomålsmail/A 1688-2022 FSC-klagomål mail.docx", "A 1688-2022")</f>
        <v/>
      </c>
      <c r="X284">
        <f>HYPERLINK("https://klasma.github.io/Logging_2084/tillsyn/A 1688-2022 tillsynsbegäran.docx", "A 1688-2022")</f>
        <v/>
      </c>
      <c r="Y284">
        <f>HYPERLINK("https://klasma.github.io/Logging_2084/tillsynsmail/A 1688-2022 tillsynsbegäran mail.docx", "A 1688-2022")</f>
        <v/>
      </c>
    </row>
    <row r="285" ht="15" customHeight="1">
      <c r="A285" t="inlineStr">
        <is>
          <t>A 3152-2022</t>
        </is>
      </c>
      <c r="B285" s="1" t="n">
        <v>44582</v>
      </c>
      <c r="C285" s="1" t="n">
        <v>45217</v>
      </c>
      <c r="D285" t="inlineStr">
        <is>
          <t>DALARNAS LÄN</t>
        </is>
      </c>
      <c r="E285" t="inlineStr">
        <is>
          <t>HEDEMORA</t>
        </is>
      </c>
      <c r="G285" t="n">
        <v>8.800000000000001</v>
      </c>
      <c r="H285" t="n">
        <v>1</v>
      </c>
      <c r="I285" t="n">
        <v>0</v>
      </c>
      <c r="J285" t="n">
        <v>1</v>
      </c>
      <c r="K285" t="n">
        <v>1</v>
      </c>
      <c r="L285" t="n">
        <v>0</v>
      </c>
      <c r="M285" t="n">
        <v>0</v>
      </c>
      <c r="N285" t="n">
        <v>0</v>
      </c>
      <c r="O285" t="n">
        <v>2</v>
      </c>
      <c r="P285" t="n">
        <v>1</v>
      </c>
      <c r="Q285" t="n">
        <v>2</v>
      </c>
      <c r="R285" s="2" t="inlineStr">
        <is>
          <t>Knärot
Ullticka</t>
        </is>
      </c>
      <c r="S285">
        <f>HYPERLINK("https://klasma.github.io/Logging_2083/artfynd/A 3152-2022 artfynd.xlsx", "A 3152-2022")</f>
        <v/>
      </c>
      <c r="T285">
        <f>HYPERLINK("https://klasma.github.io/Logging_2083/kartor/A 3152-2022 karta.png", "A 3152-2022")</f>
        <v/>
      </c>
      <c r="U285">
        <f>HYPERLINK("https://klasma.github.io/Logging_2083/knärot/A 3152-2022 karta knärot.png", "A 3152-2022")</f>
        <v/>
      </c>
      <c r="V285">
        <f>HYPERLINK("https://klasma.github.io/Logging_2083/klagomål/A 3152-2022 FSC-klagomål.docx", "A 3152-2022")</f>
        <v/>
      </c>
      <c r="W285">
        <f>HYPERLINK("https://klasma.github.io/Logging_2083/klagomålsmail/A 3152-2022 FSC-klagomål mail.docx", "A 3152-2022")</f>
        <v/>
      </c>
      <c r="X285">
        <f>HYPERLINK("https://klasma.github.io/Logging_2083/tillsyn/A 3152-2022 tillsynsbegäran.docx", "A 3152-2022")</f>
        <v/>
      </c>
      <c r="Y285">
        <f>HYPERLINK("https://klasma.github.io/Logging_2083/tillsynsmail/A 3152-2022 tillsynsbegäran mail.docx", "A 3152-2022")</f>
        <v/>
      </c>
    </row>
    <row r="286" ht="15" customHeight="1">
      <c r="A286" t="inlineStr">
        <is>
          <t>A 4031-2022</t>
        </is>
      </c>
      <c r="B286" s="1" t="n">
        <v>44588</v>
      </c>
      <c r="C286" s="1" t="n">
        <v>45217</v>
      </c>
      <c r="D286" t="inlineStr">
        <is>
          <t>DALARNAS LÄN</t>
        </is>
      </c>
      <c r="E286" t="inlineStr">
        <is>
          <t>HEDEMORA</t>
        </is>
      </c>
      <c r="F286" t="inlineStr">
        <is>
          <t>Kyrkan</t>
        </is>
      </c>
      <c r="G286" t="n">
        <v>4.3</v>
      </c>
      <c r="H286" t="n">
        <v>1</v>
      </c>
      <c r="I286" t="n">
        <v>1</v>
      </c>
      <c r="J286" t="n">
        <v>0</v>
      </c>
      <c r="K286" t="n">
        <v>0</v>
      </c>
      <c r="L286" t="n">
        <v>0</v>
      </c>
      <c r="M286" t="n">
        <v>0</v>
      </c>
      <c r="N286" t="n">
        <v>0</v>
      </c>
      <c r="O286" t="n">
        <v>0</v>
      </c>
      <c r="P286" t="n">
        <v>0</v>
      </c>
      <c r="Q286" t="n">
        <v>2</v>
      </c>
      <c r="R286" s="2" t="inlineStr">
        <is>
          <t>Stubbspretmossa
Blåsippa</t>
        </is>
      </c>
      <c r="S286">
        <f>HYPERLINK("https://klasma.github.io/Logging_2083/artfynd/A 4031-2022 artfynd.xlsx", "A 4031-2022")</f>
        <v/>
      </c>
      <c r="T286">
        <f>HYPERLINK("https://klasma.github.io/Logging_2083/kartor/A 4031-2022 karta.png", "A 4031-2022")</f>
        <v/>
      </c>
      <c r="V286">
        <f>HYPERLINK("https://klasma.github.io/Logging_2083/klagomål/A 4031-2022 FSC-klagomål.docx", "A 4031-2022")</f>
        <v/>
      </c>
      <c r="W286">
        <f>HYPERLINK("https://klasma.github.io/Logging_2083/klagomålsmail/A 4031-2022 FSC-klagomål mail.docx", "A 4031-2022")</f>
        <v/>
      </c>
      <c r="X286">
        <f>HYPERLINK("https://klasma.github.io/Logging_2083/tillsyn/A 4031-2022 tillsynsbegäran.docx", "A 4031-2022")</f>
        <v/>
      </c>
      <c r="Y286">
        <f>HYPERLINK("https://klasma.github.io/Logging_2083/tillsynsmail/A 4031-2022 tillsynsbegäran mail.docx", "A 4031-2022")</f>
        <v/>
      </c>
    </row>
    <row r="287" ht="15" customHeight="1">
      <c r="A287" t="inlineStr">
        <is>
          <t>A 11710-2022</t>
        </is>
      </c>
      <c r="B287" s="1" t="n">
        <v>44634</v>
      </c>
      <c r="C287" s="1" t="n">
        <v>45217</v>
      </c>
      <c r="D287" t="inlineStr">
        <is>
          <t>DALARNAS LÄN</t>
        </is>
      </c>
      <c r="E287" t="inlineStr">
        <is>
          <t>MALUNG-SÄLEN</t>
        </is>
      </c>
      <c r="F287" t="inlineStr">
        <is>
          <t>Allmännings- och besparingsskogar</t>
        </is>
      </c>
      <c r="G287" t="n">
        <v>60</v>
      </c>
      <c r="H287" t="n">
        <v>0</v>
      </c>
      <c r="I287" t="n">
        <v>0</v>
      </c>
      <c r="J287" t="n">
        <v>1</v>
      </c>
      <c r="K287" t="n">
        <v>1</v>
      </c>
      <c r="L287" t="n">
        <v>0</v>
      </c>
      <c r="M287" t="n">
        <v>0</v>
      </c>
      <c r="N287" t="n">
        <v>0</v>
      </c>
      <c r="O287" t="n">
        <v>2</v>
      </c>
      <c r="P287" t="n">
        <v>1</v>
      </c>
      <c r="Q287" t="n">
        <v>2</v>
      </c>
      <c r="R287" s="2" t="inlineStr">
        <is>
          <t>Gräddporing
Violettgrå tagellav</t>
        </is>
      </c>
      <c r="S287">
        <f>HYPERLINK("https://klasma.github.io/Logging_2023/artfynd/A 11710-2022 artfynd.xlsx", "A 11710-2022")</f>
        <v/>
      </c>
      <c r="T287">
        <f>HYPERLINK("https://klasma.github.io/Logging_2023/kartor/A 11710-2022 karta.png", "A 11710-2022")</f>
        <v/>
      </c>
      <c r="V287">
        <f>HYPERLINK("https://klasma.github.io/Logging_2023/klagomål/A 11710-2022 FSC-klagomål.docx", "A 11710-2022")</f>
        <v/>
      </c>
      <c r="W287">
        <f>HYPERLINK("https://klasma.github.io/Logging_2023/klagomålsmail/A 11710-2022 FSC-klagomål mail.docx", "A 11710-2022")</f>
        <v/>
      </c>
      <c r="X287">
        <f>HYPERLINK("https://klasma.github.io/Logging_2023/tillsyn/A 11710-2022 tillsynsbegäran.docx", "A 11710-2022")</f>
        <v/>
      </c>
      <c r="Y287">
        <f>HYPERLINK("https://klasma.github.io/Logging_2023/tillsynsmail/A 11710-2022 tillsynsbegäran mail.docx", "A 11710-2022")</f>
        <v/>
      </c>
    </row>
    <row r="288" ht="15" customHeight="1">
      <c r="A288" t="inlineStr">
        <is>
          <t>A 12636-2022</t>
        </is>
      </c>
      <c r="B288" s="1" t="n">
        <v>44641</v>
      </c>
      <c r="C288" s="1" t="n">
        <v>45217</v>
      </c>
      <c r="D288" t="inlineStr">
        <is>
          <t>DALARNAS LÄN</t>
        </is>
      </c>
      <c r="E288" t="inlineStr">
        <is>
          <t>MALUNG-SÄLEN</t>
        </is>
      </c>
      <c r="G288" t="n">
        <v>6.6</v>
      </c>
      <c r="H288" t="n">
        <v>0</v>
      </c>
      <c r="I288" t="n">
        <v>0</v>
      </c>
      <c r="J288" t="n">
        <v>2</v>
      </c>
      <c r="K288" t="n">
        <v>0</v>
      </c>
      <c r="L288" t="n">
        <v>0</v>
      </c>
      <c r="M288" t="n">
        <v>0</v>
      </c>
      <c r="N288" t="n">
        <v>0</v>
      </c>
      <c r="O288" t="n">
        <v>2</v>
      </c>
      <c r="P288" t="n">
        <v>0</v>
      </c>
      <c r="Q288" t="n">
        <v>2</v>
      </c>
      <c r="R288" s="2" t="inlineStr">
        <is>
          <t>Garnlav
Violettgrå tagellav</t>
        </is>
      </c>
      <c r="S288">
        <f>HYPERLINK("https://klasma.github.io/Logging_2023/artfynd/A 12636-2022 artfynd.xlsx", "A 12636-2022")</f>
        <v/>
      </c>
      <c r="T288">
        <f>HYPERLINK("https://klasma.github.io/Logging_2023/kartor/A 12636-2022 karta.png", "A 12636-2022")</f>
        <v/>
      </c>
      <c r="V288">
        <f>HYPERLINK("https://klasma.github.io/Logging_2023/klagomål/A 12636-2022 FSC-klagomål.docx", "A 12636-2022")</f>
        <v/>
      </c>
      <c r="W288">
        <f>HYPERLINK("https://klasma.github.io/Logging_2023/klagomålsmail/A 12636-2022 FSC-klagomål mail.docx", "A 12636-2022")</f>
        <v/>
      </c>
      <c r="X288">
        <f>HYPERLINK("https://klasma.github.io/Logging_2023/tillsyn/A 12636-2022 tillsynsbegäran.docx", "A 12636-2022")</f>
        <v/>
      </c>
      <c r="Y288">
        <f>HYPERLINK("https://klasma.github.io/Logging_2023/tillsynsmail/A 12636-2022 tillsynsbegäran mail.docx", "A 12636-2022")</f>
        <v/>
      </c>
    </row>
    <row r="289" ht="15" customHeight="1">
      <c r="A289" t="inlineStr">
        <is>
          <t>A 20914-2022</t>
        </is>
      </c>
      <c r="B289" s="1" t="n">
        <v>44701</v>
      </c>
      <c r="C289" s="1" t="n">
        <v>45217</v>
      </c>
      <c r="D289" t="inlineStr">
        <is>
          <t>DALARNAS LÄN</t>
        </is>
      </c>
      <c r="E289" t="inlineStr">
        <is>
          <t>ORSA</t>
        </is>
      </c>
      <c r="F289" t="inlineStr">
        <is>
          <t>Allmännings- och besparingsskogar</t>
        </is>
      </c>
      <c r="G289" t="n">
        <v>32.6</v>
      </c>
      <c r="H289" t="n">
        <v>1</v>
      </c>
      <c r="I289" t="n">
        <v>1</v>
      </c>
      <c r="J289" t="n">
        <v>1</v>
      </c>
      <c r="K289" t="n">
        <v>0</v>
      </c>
      <c r="L289" t="n">
        <v>0</v>
      </c>
      <c r="M289" t="n">
        <v>0</v>
      </c>
      <c r="N289" t="n">
        <v>0</v>
      </c>
      <c r="O289" t="n">
        <v>1</v>
      </c>
      <c r="P289" t="n">
        <v>0</v>
      </c>
      <c r="Q289" t="n">
        <v>2</v>
      </c>
      <c r="R289" s="2" t="inlineStr">
        <is>
          <t>Kungsörn
Vågbandad barkbock</t>
        </is>
      </c>
      <c r="S289">
        <f>HYPERLINK("https://klasma.github.io/Logging_2034/artfynd/A 20914-2022 artfynd.xlsx", "A 20914-2022")</f>
        <v/>
      </c>
      <c r="T289">
        <f>HYPERLINK("https://klasma.github.io/Logging_2034/kartor/A 20914-2022 karta.png", "A 20914-2022")</f>
        <v/>
      </c>
      <c r="V289">
        <f>HYPERLINK("https://klasma.github.io/Logging_2034/klagomål/A 20914-2022 FSC-klagomål.docx", "A 20914-2022")</f>
        <v/>
      </c>
      <c r="W289">
        <f>HYPERLINK("https://klasma.github.io/Logging_2034/klagomålsmail/A 20914-2022 FSC-klagomål mail.docx", "A 20914-2022")</f>
        <v/>
      </c>
      <c r="X289">
        <f>HYPERLINK("https://klasma.github.io/Logging_2034/tillsyn/A 20914-2022 tillsynsbegäran.docx", "A 20914-2022")</f>
        <v/>
      </c>
      <c r="Y289">
        <f>HYPERLINK("https://klasma.github.io/Logging_2034/tillsynsmail/A 20914-2022 tillsynsbegäran mail.docx", "A 20914-2022")</f>
        <v/>
      </c>
    </row>
    <row r="290" ht="15" customHeight="1">
      <c r="A290" t="inlineStr">
        <is>
          <t>A 21629-2022</t>
        </is>
      </c>
      <c r="B290" s="1" t="n">
        <v>44706</v>
      </c>
      <c r="C290" s="1" t="n">
        <v>45217</v>
      </c>
      <c r="D290" t="inlineStr">
        <is>
          <t>DALARNAS LÄN</t>
        </is>
      </c>
      <c r="E290" t="inlineStr">
        <is>
          <t>ÄLVDALEN</t>
        </is>
      </c>
      <c r="F290" t="inlineStr">
        <is>
          <t>Övriga statliga verk och myndigheter</t>
        </is>
      </c>
      <c r="G290" t="n">
        <v>19.2</v>
      </c>
      <c r="H290" t="n">
        <v>0</v>
      </c>
      <c r="I290" t="n">
        <v>1</v>
      </c>
      <c r="J290" t="n">
        <v>1</v>
      </c>
      <c r="K290" t="n">
        <v>0</v>
      </c>
      <c r="L290" t="n">
        <v>0</v>
      </c>
      <c r="M290" t="n">
        <v>0</v>
      </c>
      <c r="N290" t="n">
        <v>0</v>
      </c>
      <c r="O290" t="n">
        <v>1</v>
      </c>
      <c r="P290" t="n">
        <v>0</v>
      </c>
      <c r="Q290" t="n">
        <v>2</v>
      </c>
      <c r="R290" s="2" t="inlineStr">
        <is>
          <t>Vitgrynig nållav
Kransrams</t>
        </is>
      </c>
      <c r="S290">
        <f>HYPERLINK("https://klasma.github.io/Logging_2039/artfynd/A 21629-2022 artfynd.xlsx", "A 21629-2022")</f>
        <v/>
      </c>
      <c r="T290">
        <f>HYPERLINK("https://klasma.github.io/Logging_2039/kartor/A 21629-2022 karta.png", "A 21629-2022")</f>
        <v/>
      </c>
      <c r="V290">
        <f>HYPERLINK("https://klasma.github.io/Logging_2039/klagomål/A 21629-2022 FSC-klagomål.docx", "A 21629-2022")</f>
        <v/>
      </c>
      <c r="W290">
        <f>HYPERLINK("https://klasma.github.io/Logging_2039/klagomålsmail/A 21629-2022 FSC-klagomål mail.docx", "A 21629-2022")</f>
        <v/>
      </c>
      <c r="X290">
        <f>HYPERLINK("https://klasma.github.io/Logging_2039/tillsyn/A 21629-2022 tillsynsbegäran.docx", "A 21629-2022")</f>
        <v/>
      </c>
      <c r="Y290">
        <f>HYPERLINK("https://klasma.github.io/Logging_2039/tillsynsmail/A 21629-2022 tillsynsbegäran mail.docx", "A 21629-2022")</f>
        <v/>
      </c>
    </row>
    <row r="291" ht="15" customHeight="1">
      <c r="A291" t="inlineStr">
        <is>
          <t>A 27212-2022</t>
        </is>
      </c>
      <c r="B291" s="1" t="n">
        <v>44741</v>
      </c>
      <c r="C291" s="1" t="n">
        <v>45217</v>
      </c>
      <c r="D291" t="inlineStr">
        <is>
          <t>DALARNAS LÄN</t>
        </is>
      </c>
      <c r="E291" t="inlineStr">
        <is>
          <t>MALUNG-SÄLEN</t>
        </is>
      </c>
      <c r="F291" t="inlineStr">
        <is>
          <t>Bergvik skog öst AB</t>
        </is>
      </c>
      <c r="G291" t="n">
        <v>1.5</v>
      </c>
      <c r="H291" t="n">
        <v>0</v>
      </c>
      <c r="I291" t="n">
        <v>1</v>
      </c>
      <c r="J291" t="n">
        <v>0</v>
      </c>
      <c r="K291" t="n">
        <v>1</v>
      </c>
      <c r="L291" t="n">
        <v>0</v>
      </c>
      <c r="M291" t="n">
        <v>0</v>
      </c>
      <c r="N291" t="n">
        <v>0</v>
      </c>
      <c r="O291" t="n">
        <v>1</v>
      </c>
      <c r="P291" t="n">
        <v>1</v>
      </c>
      <c r="Q291" t="n">
        <v>2</v>
      </c>
      <c r="R291" s="2" t="inlineStr">
        <is>
          <t>Norsk näverlav
Skuggblåslav</t>
        </is>
      </c>
      <c r="S291">
        <f>HYPERLINK("https://klasma.github.io/Logging_2023/artfynd/A 27212-2022 artfynd.xlsx", "A 27212-2022")</f>
        <v/>
      </c>
      <c r="T291">
        <f>HYPERLINK("https://klasma.github.io/Logging_2023/kartor/A 27212-2022 karta.png", "A 27212-2022")</f>
        <v/>
      </c>
      <c r="V291">
        <f>HYPERLINK("https://klasma.github.io/Logging_2023/klagomål/A 27212-2022 FSC-klagomål.docx", "A 27212-2022")</f>
        <v/>
      </c>
      <c r="W291">
        <f>HYPERLINK("https://klasma.github.io/Logging_2023/klagomålsmail/A 27212-2022 FSC-klagomål mail.docx", "A 27212-2022")</f>
        <v/>
      </c>
      <c r="X291">
        <f>HYPERLINK("https://klasma.github.io/Logging_2023/tillsyn/A 27212-2022 tillsynsbegäran.docx", "A 27212-2022")</f>
        <v/>
      </c>
      <c r="Y291">
        <f>HYPERLINK("https://klasma.github.io/Logging_2023/tillsynsmail/A 27212-2022 tillsynsbegäran mail.docx", "A 27212-2022")</f>
        <v/>
      </c>
    </row>
    <row r="292" ht="15" customHeight="1">
      <c r="A292" t="inlineStr">
        <is>
          <t>A 27374-2022</t>
        </is>
      </c>
      <c r="B292" s="1" t="n">
        <v>44742</v>
      </c>
      <c r="C292" s="1" t="n">
        <v>45217</v>
      </c>
      <c r="D292" t="inlineStr">
        <is>
          <t>DALARNAS LÄN</t>
        </is>
      </c>
      <c r="E292" t="inlineStr">
        <is>
          <t>SÄTER</t>
        </is>
      </c>
      <c r="F292" t="inlineStr">
        <is>
          <t>Kommuner</t>
        </is>
      </c>
      <c r="G292" t="n">
        <v>4.3</v>
      </c>
      <c r="H292" t="n">
        <v>1</v>
      </c>
      <c r="I292" t="n">
        <v>0</v>
      </c>
      <c r="J292" t="n">
        <v>1</v>
      </c>
      <c r="K292" t="n">
        <v>1</v>
      </c>
      <c r="L292" t="n">
        <v>0</v>
      </c>
      <c r="M292" t="n">
        <v>0</v>
      </c>
      <c r="N292" t="n">
        <v>0</v>
      </c>
      <c r="O292" t="n">
        <v>2</v>
      </c>
      <c r="P292" t="n">
        <v>1</v>
      </c>
      <c r="Q292" t="n">
        <v>2</v>
      </c>
      <c r="R292" s="2" t="inlineStr">
        <is>
          <t>Knärot
Garnlav</t>
        </is>
      </c>
      <c r="S292">
        <f>HYPERLINK("https://klasma.github.io/Logging_2082/artfynd/A 27374-2022 artfynd.xlsx", "A 27374-2022")</f>
        <v/>
      </c>
      <c r="T292">
        <f>HYPERLINK("https://klasma.github.io/Logging_2082/kartor/A 27374-2022 karta.png", "A 27374-2022")</f>
        <v/>
      </c>
      <c r="U292">
        <f>HYPERLINK("https://klasma.github.io/Logging_2082/knärot/A 27374-2022 karta knärot.png", "A 27374-2022")</f>
        <v/>
      </c>
      <c r="V292">
        <f>HYPERLINK("https://klasma.github.io/Logging_2082/klagomål/A 27374-2022 FSC-klagomål.docx", "A 27374-2022")</f>
        <v/>
      </c>
      <c r="W292">
        <f>HYPERLINK("https://klasma.github.io/Logging_2082/klagomålsmail/A 27374-2022 FSC-klagomål mail.docx", "A 27374-2022")</f>
        <v/>
      </c>
      <c r="X292">
        <f>HYPERLINK("https://klasma.github.io/Logging_2082/tillsyn/A 27374-2022 tillsynsbegäran.docx", "A 27374-2022")</f>
        <v/>
      </c>
      <c r="Y292">
        <f>HYPERLINK("https://klasma.github.io/Logging_2082/tillsynsmail/A 27374-2022 tillsynsbegäran mail.docx", "A 27374-2022")</f>
        <v/>
      </c>
    </row>
    <row r="293" ht="15" customHeight="1">
      <c r="A293" t="inlineStr">
        <is>
          <t>A 31017-2022</t>
        </is>
      </c>
      <c r="B293" s="1" t="n">
        <v>44768</v>
      </c>
      <c r="C293" s="1" t="n">
        <v>45217</v>
      </c>
      <c r="D293" t="inlineStr">
        <is>
          <t>DALARNAS LÄN</t>
        </is>
      </c>
      <c r="E293" t="inlineStr">
        <is>
          <t>AVESTA</t>
        </is>
      </c>
      <c r="F293" t="inlineStr">
        <is>
          <t>Sveaskog</t>
        </is>
      </c>
      <c r="G293" t="n">
        <v>6.8</v>
      </c>
      <c r="H293" t="n">
        <v>0</v>
      </c>
      <c r="I293" t="n">
        <v>2</v>
      </c>
      <c r="J293" t="n">
        <v>0</v>
      </c>
      <c r="K293" t="n">
        <v>0</v>
      </c>
      <c r="L293" t="n">
        <v>0</v>
      </c>
      <c r="M293" t="n">
        <v>0</v>
      </c>
      <c r="N293" t="n">
        <v>0</v>
      </c>
      <c r="O293" t="n">
        <v>0</v>
      </c>
      <c r="P293" t="n">
        <v>0</v>
      </c>
      <c r="Q293" t="n">
        <v>2</v>
      </c>
      <c r="R293" s="2" t="inlineStr">
        <is>
          <t>Fjällig taggsvamp s.str.
Mönjevaxskivling</t>
        </is>
      </c>
      <c r="S293">
        <f>HYPERLINK("https://klasma.github.io/Logging_2084/artfynd/A 31017-2022 artfynd.xlsx", "A 31017-2022")</f>
        <v/>
      </c>
      <c r="T293">
        <f>HYPERLINK("https://klasma.github.io/Logging_2084/kartor/A 31017-2022 karta.png", "A 31017-2022")</f>
        <v/>
      </c>
      <c r="V293">
        <f>HYPERLINK("https://klasma.github.io/Logging_2084/klagomål/A 31017-2022 FSC-klagomål.docx", "A 31017-2022")</f>
        <v/>
      </c>
      <c r="W293">
        <f>HYPERLINK("https://klasma.github.io/Logging_2084/klagomålsmail/A 31017-2022 FSC-klagomål mail.docx", "A 31017-2022")</f>
        <v/>
      </c>
      <c r="X293">
        <f>HYPERLINK("https://klasma.github.io/Logging_2084/tillsyn/A 31017-2022 tillsynsbegäran.docx", "A 31017-2022")</f>
        <v/>
      </c>
      <c r="Y293">
        <f>HYPERLINK("https://klasma.github.io/Logging_2084/tillsynsmail/A 31017-2022 tillsynsbegäran mail.docx", "A 31017-2022")</f>
        <v/>
      </c>
    </row>
    <row r="294" ht="15" customHeight="1">
      <c r="A294" t="inlineStr">
        <is>
          <t>A 42558-2022</t>
        </is>
      </c>
      <c r="B294" s="1" t="n">
        <v>44831</v>
      </c>
      <c r="C294" s="1" t="n">
        <v>45217</v>
      </c>
      <c r="D294" t="inlineStr">
        <is>
          <t>DALARNAS LÄN</t>
        </is>
      </c>
      <c r="E294" t="inlineStr">
        <is>
          <t>LUDVIKA</t>
        </is>
      </c>
      <c r="F294" t="inlineStr">
        <is>
          <t>Naturvårdsverket</t>
        </is>
      </c>
      <c r="G294" t="n">
        <v>4.9</v>
      </c>
      <c r="H294" t="n">
        <v>1</v>
      </c>
      <c r="I294" t="n">
        <v>0</v>
      </c>
      <c r="J294" t="n">
        <v>0</v>
      </c>
      <c r="K294" t="n">
        <v>1</v>
      </c>
      <c r="L294" t="n">
        <v>0</v>
      </c>
      <c r="M294" t="n">
        <v>0</v>
      </c>
      <c r="N294" t="n">
        <v>0</v>
      </c>
      <c r="O294" t="n">
        <v>1</v>
      </c>
      <c r="P294" t="n">
        <v>1</v>
      </c>
      <c r="Q294" t="n">
        <v>2</v>
      </c>
      <c r="R294" s="2" t="inlineStr">
        <is>
          <t>Gräddporing
Lopplummer</t>
        </is>
      </c>
      <c r="S294">
        <f>HYPERLINK("https://klasma.github.io/Logging_2085/artfynd/A 42558-2022 artfynd.xlsx", "A 42558-2022")</f>
        <v/>
      </c>
      <c r="T294">
        <f>HYPERLINK("https://klasma.github.io/Logging_2085/kartor/A 42558-2022 karta.png", "A 42558-2022")</f>
        <v/>
      </c>
      <c r="V294">
        <f>HYPERLINK("https://klasma.github.io/Logging_2085/klagomål/A 42558-2022 FSC-klagomål.docx", "A 42558-2022")</f>
        <v/>
      </c>
      <c r="W294">
        <f>HYPERLINK("https://klasma.github.io/Logging_2085/klagomålsmail/A 42558-2022 FSC-klagomål mail.docx", "A 42558-2022")</f>
        <v/>
      </c>
      <c r="X294">
        <f>HYPERLINK("https://klasma.github.io/Logging_2085/tillsyn/A 42558-2022 tillsynsbegäran.docx", "A 42558-2022")</f>
        <v/>
      </c>
      <c r="Y294">
        <f>HYPERLINK("https://klasma.github.io/Logging_2085/tillsynsmail/A 42558-2022 tillsynsbegäran mail.docx", "A 42558-2022")</f>
        <v/>
      </c>
    </row>
    <row r="295" ht="15" customHeight="1">
      <c r="A295" t="inlineStr">
        <is>
          <t>A 48343-2022</t>
        </is>
      </c>
      <c r="B295" s="1" t="n">
        <v>44858</v>
      </c>
      <c r="C295" s="1" t="n">
        <v>45217</v>
      </c>
      <c r="D295" t="inlineStr">
        <is>
          <t>DALARNAS LÄN</t>
        </is>
      </c>
      <c r="E295" t="inlineStr">
        <is>
          <t>ORSA</t>
        </is>
      </c>
      <c r="G295" t="n">
        <v>1.6</v>
      </c>
      <c r="H295" t="n">
        <v>2</v>
      </c>
      <c r="I295" t="n">
        <v>0</v>
      </c>
      <c r="J295" t="n">
        <v>1</v>
      </c>
      <c r="K295" t="n">
        <v>0</v>
      </c>
      <c r="L295" t="n">
        <v>0</v>
      </c>
      <c r="M295" t="n">
        <v>0</v>
      </c>
      <c r="N295" t="n">
        <v>0</v>
      </c>
      <c r="O295" t="n">
        <v>1</v>
      </c>
      <c r="P295" t="n">
        <v>0</v>
      </c>
      <c r="Q295" t="n">
        <v>2</v>
      </c>
      <c r="R295" s="2" t="inlineStr">
        <is>
          <t>Nordfladdermus
Vattenfladdermus</t>
        </is>
      </c>
      <c r="S295">
        <f>HYPERLINK("https://klasma.github.io/Logging_2034/artfynd/A 48343-2022 artfynd.xlsx", "A 48343-2022")</f>
        <v/>
      </c>
      <c r="T295">
        <f>HYPERLINK("https://klasma.github.io/Logging_2034/kartor/A 48343-2022 karta.png", "A 48343-2022")</f>
        <v/>
      </c>
      <c r="V295">
        <f>HYPERLINK("https://klasma.github.io/Logging_2034/klagomål/A 48343-2022 FSC-klagomål.docx", "A 48343-2022")</f>
        <v/>
      </c>
      <c r="W295">
        <f>HYPERLINK("https://klasma.github.io/Logging_2034/klagomålsmail/A 48343-2022 FSC-klagomål mail.docx", "A 48343-2022")</f>
        <v/>
      </c>
      <c r="X295">
        <f>HYPERLINK("https://klasma.github.io/Logging_2034/tillsyn/A 48343-2022 tillsynsbegäran.docx", "A 48343-2022")</f>
        <v/>
      </c>
      <c r="Y295">
        <f>HYPERLINK("https://klasma.github.io/Logging_2034/tillsynsmail/A 48343-2022 tillsynsbegäran mail.docx", "A 48343-2022")</f>
        <v/>
      </c>
    </row>
    <row r="296" ht="15" customHeight="1">
      <c r="A296" t="inlineStr">
        <is>
          <t>A 50242-2022</t>
        </is>
      </c>
      <c r="B296" s="1" t="n">
        <v>44865</v>
      </c>
      <c r="C296" s="1" t="n">
        <v>45217</v>
      </c>
      <c r="D296" t="inlineStr">
        <is>
          <t>DALARNAS LÄN</t>
        </is>
      </c>
      <c r="E296" t="inlineStr">
        <is>
          <t>ÄLVDALEN</t>
        </is>
      </c>
      <c r="F296" t="inlineStr">
        <is>
          <t>Sveaskog</t>
        </is>
      </c>
      <c r="G296" t="n">
        <v>10.7</v>
      </c>
      <c r="H296" t="n">
        <v>0</v>
      </c>
      <c r="I296" t="n">
        <v>1</v>
      </c>
      <c r="J296" t="n">
        <v>1</v>
      </c>
      <c r="K296" t="n">
        <v>0</v>
      </c>
      <c r="L296" t="n">
        <v>0</v>
      </c>
      <c r="M296" t="n">
        <v>0</v>
      </c>
      <c r="N296" t="n">
        <v>0</v>
      </c>
      <c r="O296" t="n">
        <v>1</v>
      </c>
      <c r="P296" t="n">
        <v>0</v>
      </c>
      <c r="Q296" t="n">
        <v>2</v>
      </c>
      <c r="R296" s="2" t="inlineStr">
        <is>
          <t>Kolflarnlav
Dropptaggsvamp</t>
        </is>
      </c>
      <c r="S296">
        <f>HYPERLINK("https://klasma.github.io/Logging_2039/artfynd/A 50242-2022 artfynd.xlsx", "A 50242-2022")</f>
        <v/>
      </c>
      <c r="T296">
        <f>HYPERLINK("https://klasma.github.io/Logging_2039/kartor/A 50242-2022 karta.png", "A 50242-2022")</f>
        <v/>
      </c>
      <c r="V296">
        <f>HYPERLINK("https://klasma.github.io/Logging_2039/klagomål/A 50242-2022 FSC-klagomål.docx", "A 50242-2022")</f>
        <v/>
      </c>
      <c r="W296">
        <f>HYPERLINK("https://klasma.github.io/Logging_2039/klagomålsmail/A 50242-2022 FSC-klagomål mail.docx", "A 50242-2022")</f>
        <v/>
      </c>
      <c r="X296">
        <f>HYPERLINK("https://klasma.github.io/Logging_2039/tillsyn/A 50242-2022 tillsynsbegäran.docx", "A 50242-2022")</f>
        <v/>
      </c>
      <c r="Y296">
        <f>HYPERLINK("https://klasma.github.io/Logging_2039/tillsynsmail/A 50242-2022 tillsynsbegäran mail.docx", "A 50242-2022")</f>
        <v/>
      </c>
    </row>
    <row r="297" ht="15" customHeight="1">
      <c r="A297" t="inlineStr">
        <is>
          <t>A 52490-2022</t>
        </is>
      </c>
      <c r="B297" s="1" t="n">
        <v>44874</v>
      </c>
      <c r="C297" s="1" t="n">
        <v>45217</v>
      </c>
      <c r="D297" t="inlineStr">
        <is>
          <t>DALARNAS LÄN</t>
        </is>
      </c>
      <c r="E297" t="inlineStr">
        <is>
          <t>ÄLVDALEN</t>
        </is>
      </c>
      <c r="G297" t="n">
        <v>4.3</v>
      </c>
      <c r="H297" t="n">
        <v>0</v>
      </c>
      <c r="I297" t="n">
        <v>1</v>
      </c>
      <c r="J297" t="n">
        <v>1</v>
      </c>
      <c r="K297" t="n">
        <v>0</v>
      </c>
      <c r="L297" t="n">
        <v>0</v>
      </c>
      <c r="M297" t="n">
        <v>0</v>
      </c>
      <c r="N297" t="n">
        <v>0</v>
      </c>
      <c r="O297" t="n">
        <v>1</v>
      </c>
      <c r="P297" t="n">
        <v>0</v>
      </c>
      <c r="Q297" t="n">
        <v>2</v>
      </c>
      <c r="R297" s="2" t="inlineStr">
        <is>
          <t>Garnlav
Dropptaggsvamp</t>
        </is>
      </c>
      <c r="S297">
        <f>HYPERLINK("https://klasma.github.io/Logging_2039/artfynd/A 52490-2022 artfynd.xlsx", "A 52490-2022")</f>
        <v/>
      </c>
      <c r="T297">
        <f>HYPERLINK("https://klasma.github.io/Logging_2039/kartor/A 52490-2022 karta.png", "A 52490-2022")</f>
        <v/>
      </c>
      <c r="V297">
        <f>HYPERLINK("https://klasma.github.io/Logging_2039/klagomål/A 52490-2022 FSC-klagomål.docx", "A 52490-2022")</f>
        <v/>
      </c>
      <c r="W297">
        <f>HYPERLINK("https://klasma.github.io/Logging_2039/klagomålsmail/A 52490-2022 FSC-klagomål mail.docx", "A 52490-2022")</f>
        <v/>
      </c>
      <c r="X297">
        <f>HYPERLINK("https://klasma.github.io/Logging_2039/tillsyn/A 52490-2022 tillsynsbegäran.docx", "A 52490-2022")</f>
        <v/>
      </c>
      <c r="Y297">
        <f>HYPERLINK("https://klasma.github.io/Logging_2039/tillsynsmail/A 52490-2022 tillsynsbegäran mail.docx", "A 52490-2022")</f>
        <v/>
      </c>
    </row>
    <row r="298" ht="15" customHeight="1">
      <c r="A298" t="inlineStr">
        <is>
          <t>A 52510-2022</t>
        </is>
      </c>
      <c r="B298" s="1" t="n">
        <v>44874</v>
      </c>
      <c r="C298" s="1" t="n">
        <v>45217</v>
      </c>
      <c r="D298" t="inlineStr">
        <is>
          <t>DALARNAS LÄN</t>
        </is>
      </c>
      <c r="E298" t="inlineStr">
        <is>
          <t>BORLÄNGE</t>
        </is>
      </c>
      <c r="G298" t="n">
        <v>1</v>
      </c>
      <c r="H298" t="n">
        <v>0</v>
      </c>
      <c r="I298" t="n">
        <v>1</v>
      </c>
      <c r="J298" t="n">
        <v>1</v>
      </c>
      <c r="K298" t="n">
        <v>0</v>
      </c>
      <c r="L298" t="n">
        <v>0</v>
      </c>
      <c r="M298" t="n">
        <v>0</v>
      </c>
      <c r="N298" t="n">
        <v>0</v>
      </c>
      <c r="O298" t="n">
        <v>1</v>
      </c>
      <c r="P298" t="n">
        <v>0</v>
      </c>
      <c r="Q298" t="n">
        <v>2</v>
      </c>
      <c r="R298" s="2" t="inlineStr">
        <is>
          <t>Gränsticka
Vedticka</t>
        </is>
      </c>
      <c r="S298">
        <f>HYPERLINK("https://klasma.github.io/Logging_2081/artfynd/A 52510-2022 artfynd.xlsx", "A 52510-2022")</f>
        <v/>
      </c>
      <c r="T298">
        <f>HYPERLINK("https://klasma.github.io/Logging_2081/kartor/A 52510-2022 karta.png", "A 52510-2022")</f>
        <v/>
      </c>
      <c r="V298">
        <f>HYPERLINK("https://klasma.github.io/Logging_2081/klagomål/A 52510-2022 FSC-klagomål.docx", "A 52510-2022")</f>
        <v/>
      </c>
      <c r="W298">
        <f>HYPERLINK("https://klasma.github.io/Logging_2081/klagomålsmail/A 52510-2022 FSC-klagomål mail.docx", "A 52510-2022")</f>
        <v/>
      </c>
      <c r="X298">
        <f>HYPERLINK("https://klasma.github.io/Logging_2081/tillsyn/A 52510-2022 tillsynsbegäran.docx", "A 52510-2022")</f>
        <v/>
      </c>
      <c r="Y298">
        <f>HYPERLINK("https://klasma.github.io/Logging_2081/tillsynsmail/A 52510-2022 tillsynsbegäran mail.docx", "A 52510-2022")</f>
        <v/>
      </c>
    </row>
    <row r="299" ht="15" customHeight="1">
      <c r="A299" t="inlineStr">
        <is>
          <t>A 53629-2022</t>
        </is>
      </c>
      <c r="B299" s="1" t="n">
        <v>44879</v>
      </c>
      <c r="C299" s="1" t="n">
        <v>45217</v>
      </c>
      <c r="D299" t="inlineStr">
        <is>
          <t>DALARNAS LÄN</t>
        </is>
      </c>
      <c r="E299" t="inlineStr">
        <is>
          <t>ORSA</t>
        </is>
      </c>
      <c r="G299" t="n">
        <v>8.199999999999999</v>
      </c>
      <c r="H299" t="n">
        <v>2</v>
      </c>
      <c r="I299" t="n">
        <v>0</v>
      </c>
      <c r="J299" t="n">
        <v>0</v>
      </c>
      <c r="K299" t="n">
        <v>0</v>
      </c>
      <c r="L299" t="n">
        <v>0</v>
      </c>
      <c r="M299" t="n">
        <v>0</v>
      </c>
      <c r="N299" t="n">
        <v>0</v>
      </c>
      <c r="O299" t="n">
        <v>0</v>
      </c>
      <c r="P299" t="n">
        <v>0</v>
      </c>
      <c r="Q299" t="n">
        <v>2</v>
      </c>
      <c r="R299" s="2" t="inlineStr">
        <is>
          <t>Större vattensalamander
Mindre vattensalamander</t>
        </is>
      </c>
      <c r="S299">
        <f>HYPERLINK("https://klasma.github.io/Logging_2034/artfynd/A 53629-2022 artfynd.xlsx", "A 53629-2022")</f>
        <v/>
      </c>
      <c r="T299">
        <f>HYPERLINK("https://klasma.github.io/Logging_2034/kartor/A 53629-2022 karta.png", "A 53629-2022")</f>
        <v/>
      </c>
      <c r="V299">
        <f>HYPERLINK("https://klasma.github.io/Logging_2034/klagomål/A 53629-2022 FSC-klagomål.docx", "A 53629-2022")</f>
        <v/>
      </c>
      <c r="W299">
        <f>HYPERLINK("https://klasma.github.io/Logging_2034/klagomålsmail/A 53629-2022 FSC-klagomål mail.docx", "A 53629-2022")</f>
        <v/>
      </c>
      <c r="X299">
        <f>HYPERLINK("https://klasma.github.io/Logging_2034/tillsyn/A 53629-2022 tillsynsbegäran.docx", "A 53629-2022")</f>
        <v/>
      </c>
      <c r="Y299">
        <f>HYPERLINK("https://klasma.github.io/Logging_2034/tillsynsmail/A 53629-2022 tillsynsbegäran mail.docx", "A 53629-2022")</f>
        <v/>
      </c>
    </row>
    <row r="300" ht="15" customHeight="1">
      <c r="A300" t="inlineStr">
        <is>
          <t>A 55664-2022</t>
        </is>
      </c>
      <c r="B300" s="1" t="n">
        <v>44888</v>
      </c>
      <c r="C300" s="1" t="n">
        <v>45217</v>
      </c>
      <c r="D300" t="inlineStr">
        <is>
          <t>DALARNAS LÄN</t>
        </is>
      </c>
      <c r="E300" t="inlineStr">
        <is>
          <t>MALUNG-SÄLEN</t>
        </is>
      </c>
      <c r="F300" t="inlineStr">
        <is>
          <t>Allmännings- och besparingsskogar</t>
        </is>
      </c>
      <c r="G300" t="n">
        <v>12.7</v>
      </c>
      <c r="H300" t="n">
        <v>0</v>
      </c>
      <c r="I300" t="n">
        <v>0</v>
      </c>
      <c r="J300" t="n">
        <v>2</v>
      </c>
      <c r="K300" t="n">
        <v>0</v>
      </c>
      <c r="L300" t="n">
        <v>0</v>
      </c>
      <c r="M300" t="n">
        <v>0</v>
      </c>
      <c r="N300" t="n">
        <v>0</v>
      </c>
      <c r="O300" t="n">
        <v>2</v>
      </c>
      <c r="P300" t="n">
        <v>0</v>
      </c>
      <c r="Q300" t="n">
        <v>2</v>
      </c>
      <c r="R300" s="2" t="inlineStr">
        <is>
          <t>Dvärgbägarlav
Mörk kolflarnlav</t>
        </is>
      </c>
      <c r="S300">
        <f>HYPERLINK("https://klasma.github.io/Logging_2023/artfynd/A 55664-2022 artfynd.xlsx", "A 55664-2022")</f>
        <v/>
      </c>
      <c r="T300">
        <f>HYPERLINK("https://klasma.github.io/Logging_2023/kartor/A 55664-2022 karta.png", "A 55664-2022")</f>
        <v/>
      </c>
      <c r="V300">
        <f>HYPERLINK("https://klasma.github.io/Logging_2023/klagomål/A 55664-2022 FSC-klagomål.docx", "A 55664-2022")</f>
        <v/>
      </c>
      <c r="W300">
        <f>HYPERLINK("https://klasma.github.io/Logging_2023/klagomålsmail/A 55664-2022 FSC-klagomål mail.docx", "A 55664-2022")</f>
        <v/>
      </c>
      <c r="X300">
        <f>HYPERLINK("https://klasma.github.io/Logging_2023/tillsyn/A 55664-2022 tillsynsbegäran.docx", "A 55664-2022")</f>
        <v/>
      </c>
      <c r="Y300">
        <f>HYPERLINK("https://klasma.github.io/Logging_2023/tillsynsmail/A 55664-2022 tillsynsbegäran mail.docx", "A 55664-2022")</f>
        <v/>
      </c>
    </row>
    <row r="301" ht="15" customHeight="1">
      <c r="A301" t="inlineStr">
        <is>
          <t>A 59665-2022</t>
        </is>
      </c>
      <c r="B301" s="1" t="n">
        <v>44908</v>
      </c>
      <c r="C301" s="1" t="n">
        <v>45217</v>
      </c>
      <c r="D301" t="inlineStr">
        <is>
          <t>DALARNAS LÄN</t>
        </is>
      </c>
      <c r="E301" t="inlineStr">
        <is>
          <t>BORLÄNGE</t>
        </is>
      </c>
      <c r="G301" t="n">
        <v>16.1</v>
      </c>
      <c r="H301" t="n">
        <v>2</v>
      </c>
      <c r="I301" t="n">
        <v>0</v>
      </c>
      <c r="J301" t="n">
        <v>0</v>
      </c>
      <c r="K301" t="n">
        <v>1</v>
      </c>
      <c r="L301" t="n">
        <v>0</v>
      </c>
      <c r="M301" t="n">
        <v>0</v>
      </c>
      <c r="N301" t="n">
        <v>0</v>
      </c>
      <c r="O301" t="n">
        <v>1</v>
      </c>
      <c r="P301" t="n">
        <v>1</v>
      </c>
      <c r="Q301" t="n">
        <v>2</v>
      </c>
      <c r="R301" s="2" t="inlineStr">
        <is>
          <t>Knärot
Fläcknycklar</t>
        </is>
      </c>
      <c r="S301">
        <f>HYPERLINK("https://klasma.github.io/Logging_2081/artfynd/A 59665-2022 artfynd.xlsx", "A 59665-2022")</f>
        <v/>
      </c>
      <c r="T301">
        <f>HYPERLINK("https://klasma.github.io/Logging_2081/kartor/A 59665-2022 karta.png", "A 59665-2022")</f>
        <v/>
      </c>
      <c r="U301">
        <f>HYPERLINK("https://klasma.github.io/Logging_2081/knärot/A 59665-2022 karta knärot.png", "A 59665-2022")</f>
        <v/>
      </c>
      <c r="V301">
        <f>HYPERLINK("https://klasma.github.io/Logging_2081/klagomål/A 59665-2022 FSC-klagomål.docx", "A 59665-2022")</f>
        <v/>
      </c>
      <c r="W301">
        <f>HYPERLINK("https://klasma.github.io/Logging_2081/klagomålsmail/A 59665-2022 FSC-klagomål mail.docx", "A 59665-2022")</f>
        <v/>
      </c>
      <c r="X301">
        <f>HYPERLINK("https://klasma.github.io/Logging_2081/tillsyn/A 59665-2022 tillsynsbegäran.docx", "A 59665-2022")</f>
        <v/>
      </c>
      <c r="Y301">
        <f>HYPERLINK("https://klasma.github.io/Logging_2081/tillsynsmail/A 59665-2022 tillsynsbegäran mail.docx", "A 59665-2022")</f>
        <v/>
      </c>
    </row>
    <row r="302" ht="15" customHeight="1">
      <c r="A302" t="inlineStr">
        <is>
          <t>A 61289-2022</t>
        </is>
      </c>
      <c r="B302" s="1" t="n">
        <v>44909</v>
      </c>
      <c r="C302" s="1" t="n">
        <v>45217</v>
      </c>
      <c r="D302" t="inlineStr">
        <is>
          <t>DALARNAS LÄN</t>
        </is>
      </c>
      <c r="E302" t="inlineStr">
        <is>
          <t>SMEDJEBACKEN</t>
        </is>
      </c>
      <c r="F302" t="inlineStr">
        <is>
          <t>Bergvik skog väst AB</t>
        </is>
      </c>
      <c r="G302" t="n">
        <v>9.6</v>
      </c>
      <c r="H302" t="n">
        <v>1</v>
      </c>
      <c r="I302" t="n">
        <v>0</v>
      </c>
      <c r="J302" t="n">
        <v>2</v>
      </c>
      <c r="K302" t="n">
        <v>0</v>
      </c>
      <c r="L302" t="n">
        <v>0</v>
      </c>
      <c r="M302" t="n">
        <v>0</v>
      </c>
      <c r="N302" t="n">
        <v>0</v>
      </c>
      <c r="O302" t="n">
        <v>2</v>
      </c>
      <c r="P302" t="n">
        <v>0</v>
      </c>
      <c r="Q302" t="n">
        <v>2</v>
      </c>
      <c r="R302" s="2" t="inlineStr">
        <is>
          <t>Kungsörn
Skogshare</t>
        </is>
      </c>
      <c r="S302">
        <f>HYPERLINK("https://klasma.github.io/Logging_2061/artfynd/A 61289-2022 artfynd.xlsx", "A 61289-2022")</f>
        <v/>
      </c>
      <c r="T302">
        <f>HYPERLINK("https://klasma.github.io/Logging_2061/kartor/A 61289-2022 karta.png", "A 61289-2022")</f>
        <v/>
      </c>
      <c r="V302">
        <f>HYPERLINK("https://klasma.github.io/Logging_2061/klagomål/A 61289-2022 FSC-klagomål.docx", "A 61289-2022")</f>
        <v/>
      </c>
      <c r="W302">
        <f>HYPERLINK("https://klasma.github.io/Logging_2061/klagomålsmail/A 61289-2022 FSC-klagomål mail.docx", "A 61289-2022")</f>
        <v/>
      </c>
      <c r="X302">
        <f>HYPERLINK("https://klasma.github.io/Logging_2061/tillsyn/A 61289-2022 tillsynsbegäran.docx", "A 61289-2022")</f>
        <v/>
      </c>
      <c r="Y302">
        <f>HYPERLINK("https://klasma.github.io/Logging_2061/tillsynsmail/A 61289-2022 tillsynsbegäran mail.docx", "A 61289-2022")</f>
        <v/>
      </c>
    </row>
    <row r="303" ht="15" customHeight="1">
      <c r="A303" t="inlineStr">
        <is>
          <t>A 62396-2022</t>
        </is>
      </c>
      <c r="B303" s="1" t="n">
        <v>44923</v>
      </c>
      <c r="C303" s="1" t="n">
        <v>45217</v>
      </c>
      <c r="D303" t="inlineStr">
        <is>
          <t>DALARNAS LÄN</t>
        </is>
      </c>
      <c r="E303" t="inlineStr">
        <is>
          <t>FALUN</t>
        </is>
      </c>
      <c r="F303" t="inlineStr">
        <is>
          <t>Bergvik skog väst AB</t>
        </is>
      </c>
      <c r="G303" t="n">
        <v>2.8</v>
      </c>
      <c r="H303" t="n">
        <v>1</v>
      </c>
      <c r="I303" t="n">
        <v>1</v>
      </c>
      <c r="J303" t="n">
        <v>1</v>
      </c>
      <c r="K303" t="n">
        <v>0</v>
      </c>
      <c r="L303" t="n">
        <v>0</v>
      </c>
      <c r="M303" t="n">
        <v>0</v>
      </c>
      <c r="N303" t="n">
        <v>0</v>
      </c>
      <c r="O303" t="n">
        <v>1</v>
      </c>
      <c r="P303" t="n">
        <v>0</v>
      </c>
      <c r="Q303" t="n">
        <v>2</v>
      </c>
      <c r="R303" s="2" t="inlineStr">
        <is>
          <t>Spillkråka
Mindre märgborre</t>
        </is>
      </c>
      <c r="S303">
        <f>HYPERLINK("https://klasma.github.io/Logging_2080/artfynd/A 62396-2022 artfynd.xlsx", "A 62396-2022")</f>
        <v/>
      </c>
      <c r="T303">
        <f>HYPERLINK("https://klasma.github.io/Logging_2080/kartor/A 62396-2022 karta.png", "A 62396-2022")</f>
        <v/>
      </c>
      <c r="V303">
        <f>HYPERLINK("https://klasma.github.io/Logging_2080/klagomål/A 62396-2022 FSC-klagomål.docx", "A 62396-2022")</f>
        <v/>
      </c>
      <c r="W303">
        <f>HYPERLINK("https://klasma.github.io/Logging_2080/klagomålsmail/A 62396-2022 FSC-klagomål mail.docx", "A 62396-2022")</f>
        <v/>
      </c>
      <c r="X303">
        <f>HYPERLINK("https://klasma.github.io/Logging_2080/tillsyn/A 62396-2022 tillsynsbegäran.docx", "A 62396-2022")</f>
        <v/>
      </c>
      <c r="Y303">
        <f>HYPERLINK("https://klasma.github.io/Logging_2080/tillsynsmail/A 62396-2022 tillsynsbegäran mail.docx", "A 62396-2022")</f>
        <v/>
      </c>
    </row>
    <row r="304" ht="15" customHeight="1">
      <c r="A304" t="inlineStr">
        <is>
          <t>A 377-2023</t>
        </is>
      </c>
      <c r="B304" s="1" t="n">
        <v>44929</v>
      </c>
      <c r="C304" s="1" t="n">
        <v>45217</v>
      </c>
      <c r="D304" t="inlineStr">
        <is>
          <t>DALARNAS LÄN</t>
        </is>
      </c>
      <c r="E304" t="inlineStr">
        <is>
          <t>GAGNEF</t>
        </is>
      </c>
      <c r="G304" t="n">
        <v>1.7</v>
      </c>
      <c r="H304" t="n">
        <v>1</v>
      </c>
      <c r="I304" t="n">
        <v>0</v>
      </c>
      <c r="J304" t="n">
        <v>2</v>
      </c>
      <c r="K304" t="n">
        <v>0</v>
      </c>
      <c r="L304" t="n">
        <v>0</v>
      </c>
      <c r="M304" t="n">
        <v>0</v>
      </c>
      <c r="N304" t="n">
        <v>0</v>
      </c>
      <c r="O304" t="n">
        <v>2</v>
      </c>
      <c r="P304" t="n">
        <v>0</v>
      </c>
      <c r="Q304" t="n">
        <v>2</v>
      </c>
      <c r="R304" s="2" t="inlineStr">
        <is>
          <t>Lunglav
Svartvit flugsnappare</t>
        </is>
      </c>
      <c r="S304">
        <f>HYPERLINK("https://klasma.github.io/Logging_2026/artfynd/A 377-2023 artfynd.xlsx", "A 377-2023")</f>
        <v/>
      </c>
      <c r="T304">
        <f>HYPERLINK("https://klasma.github.io/Logging_2026/kartor/A 377-2023 karta.png", "A 377-2023")</f>
        <v/>
      </c>
      <c r="V304">
        <f>HYPERLINK("https://klasma.github.io/Logging_2026/klagomål/A 377-2023 FSC-klagomål.docx", "A 377-2023")</f>
        <v/>
      </c>
      <c r="W304">
        <f>HYPERLINK("https://klasma.github.io/Logging_2026/klagomålsmail/A 377-2023 FSC-klagomål mail.docx", "A 377-2023")</f>
        <v/>
      </c>
      <c r="X304">
        <f>HYPERLINK("https://klasma.github.io/Logging_2026/tillsyn/A 377-2023 tillsynsbegäran.docx", "A 377-2023")</f>
        <v/>
      </c>
      <c r="Y304">
        <f>HYPERLINK("https://klasma.github.io/Logging_2026/tillsynsmail/A 377-2023 tillsynsbegäran mail.docx", "A 377-2023")</f>
        <v/>
      </c>
    </row>
    <row r="305" ht="15" customHeight="1">
      <c r="A305" t="inlineStr">
        <is>
          <t>A 2556-2023</t>
        </is>
      </c>
      <c r="B305" s="1" t="n">
        <v>44943</v>
      </c>
      <c r="C305" s="1" t="n">
        <v>45217</v>
      </c>
      <c r="D305" t="inlineStr">
        <is>
          <t>DALARNAS LÄN</t>
        </is>
      </c>
      <c r="E305" t="inlineStr">
        <is>
          <t>FALUN</t>
        </is>
      </c>
      <c r="G305" t="n">
        <v>0.9</v>
      </c>
      <c r="H305" t="n">
        <v>0</v>
      </c>
      <c r="I305" t="n">
        <v>1</v>
      </c>
      <c r="J305" t="n">
        <v>0</v>
      </c>
      <c r="K305" t="n">
        <v>0</v>
      </c>
      <c r="L305" t="n">
        <v>1</v>
      </c>
      <c r="M305" t="n">
        <v>0</v>
      </c>
      <c r="N305" t="n">
        <v>0</v>
      </c>
      <c r="O305" t="n">
        <v>1</v>
      </c>
      <c r="P305" t="n">
        <v>1</v>
      </c>
      <c r="Q305" t="n">
        <v>2</v>
      </c>
      <c r="R305" s="2" t="inlineStr">
        <is>
          <t>Trolldruvemätare
Svart trolldruva</t>
        </is>
      </c>
      <c r="S305">
        <f>HYPERLINK("https://klasma.github.io/Logging_2080/artfynd/A 2556-2023 artfynd.xlsx", "A 2556-2023")</f>
        <v/>
      </c>
      <c r="T305">
        <f>HYPERLINK("https://klasma.github.io/Logging_2080/kartor/A 2556-2023 karta.png", "A 2556-2023")</f>
        <v/>
      </c>
      <c r="V305">
        <f>HYPERLINK("https://klasma.github.io/Logging_2080/klagomål/A 2556-2023 FSC-klagomål.docx", "A 2556-2023")</f>
        <v/>
      </c>
      <c r="W305">
        <f>HYPERLINK("https://klasma.github.io/Logging_2080/klagomålsmail/A 2556-2023 FSC-klagomål mail.docx", "A 2556-2023")</f>
        <v/>
      </c>
      <c r="X305">
        <f>HYPERLINK("https://klasma.github.io/Logging_2080/tillsyn/A 2556-2023 tillsynsbegäran.docx", "A 2556-2023")</f>
        <v/>
      </c>
      <c r="Y305">
        <f>HYPERLINK("https://klasma.github.io/Logging_2080/tillsynsmail/A 2556-2023 tillsynsbegäran mail.docx", "A 2556-2023")</f>
        <v/>
      </c>
    </row>
    <row r="306" ht="15" customHeight="1">
      <c r="A306" t="inlineStr">
        <is>
          <t>A 11751-2023</t>
        </is>
      </c>
      <c r="B306" s="1" t="n">
        <v>44994</v>
      </c>
      <c r="C306" s="1" t="n">
        <v>45217</v>
      </c>
      <c r="D306" t="inlineStr">
        <is>
          <t>DALARNAS LÄN</t>
        </is>
      </c>
      <c r="E306" t="inlineStr">
        <is>
          <t>HEDEMORA</t>
        </is>
      </c>
      <c r="G306" t="n">
        <v>3.7</v>
      </c>
      <c r="H306" t="n">
        <v>1</v>
      </c>
      <c r="I306" t="n">
        <v>0</v>
      </c>
      <c r="J306" t="n">
        <v>1</v>
      </c>
      <c r="K306" t="n">
        <v>0</v>
      </c>
      <c r="L306" t="n">
        <v>0</v>
      </c>
      <c r="M306" t="n">
        <v>0</v>
      </c>
      <c r="N306" t="n">
        <v>0</v>
      </c>
      <c r="O306" t="n">
        <v>1</v>
      </c>
      <c r="P306" t="n">
        <v>0</v>
      </c>
      <c r="Q306" t="n">
        <v>2</v>
      </c>
      <c r="R306" s="2" t="inlineStr">
        <is>
          <t>Vedtrappmossa
Blåsippa</t>
        </is>
      </c>
      <c r="S306">
        <f>HYPERLINK("https://klasma.github.io/Logging_2083/artfynd/A 11751-2023 artfynd.xlsx", "A 11751-2023")</f>
        <v/>
      </c>
      <c r="T306">
        <f>HYPERLINK("https://klasma.github.io/Logging_2083/kartor/A 11751-2023 karta.png", "A 11751-2023")</f>
        <v/>
      </c>
      <c r="V306">
        <f>HYPERLINK("https://klasma.github.io/Logging_2083/klagomål/A 11751-2023 FSC-klagomål.docx", "A 11751-2023")</f>
        <v/>
      </c>
      <c r="W306">
        <f>HYPERLINK("https://klasma.github.io/Logging_2083/klagomålsmail/A 11751-2023 FSC-klagomål mail.docx", "A 11751-2023")</f>
        <v/>
      </c>
      <c r="X306">
        <f>HYPERLINK("https://klasma.github.io/Logging_2083/tillsyn/A 11751-2023 tillsynsbegäran.docx", "A 11751-2023")</f>
        <v/>
      </c>
      <c r="Y306">
        <f>HYPERLINK("https://klasma.github.io/Logging_2083/tillsynsmail/A 11751-2023 tillsynsbegäran mail.docx", "A 11751-2023")</f>
        <v/>
      </c>
    </row>
    <row r="307" ht="15" customHeight="1">
      <c r="A307" t="inlineStr">
        <is>
          <t>A 12314-2023</t>
        </is>
      </c>
      <c r="B307" s="1" t="n">
        <v>44996</v>
      </c>
      <c r="C307" s="1" t="n">
        <v>45217</v>
      </c>
      <c r="D307" t="inlineStr">
        <is>
          <t>DALARNAS LÄN</t>
        </is>
      </c>
      <c r="E307" t="inlineStr">
        <is>
          <t>BORLÄNGE</t>
        </is>
      </c>
      <c r="G307" t="n">
        <v>22.7</v>
      </c>
      <c r="H307" t="n">
        <v>0</v>
      </c>
      <c r="I307" t="n">
        <v>1</v>
      </c>
      <c r="J307" t="n">
        <v>1</v>
      </c>
      <c r="K307" t="n">
        <v>0</v>
      </c>
      <c r="L307" t="n">
        <v>0</v>
      </c>
      <c r="M307" t="n">
        <v>0</v>
      </c>
      <c r="N307" t="n">
        <v>0</v>
      </c>
      <c r="O307" t="n">
        <v>1</v>
      </c>
      <c r="P307" t="n">
        <v>0</v>
      </c>
      <c r="Q307" t="n">
        <v>2</v>
      </c>
      <c r="R307" s="2" t="inlineStr">
        <is>
          <t>Skrovlig taggsvamp
Dropptaggsvamp</t>
        </is>
      </c>
      <c r="S307">
        <f>HYPERLINK("https://klasma.github.io/Logging_2081/artfynd/A 12314-2023 artfynd.xlsx", "A 12314-2023")</f>
        <v/>
      </c>
      <c r="T307">
        <f>HYPERLINK("https://klasma.github.io/Logging_2081/kartor/A 12314-2023 karta.png", "A 12314-2023")</f>
        <v/>
      </c>
      <c r="V307">
        <f>HYPERLINK("https://klasma.github.io/Logging_2081/klagomål/A 12314-2023 FSC-klagomål.docx", "A 12314-2023")</f>
        <v/>
      </c>
      <c r="W307">
        <f>HYPERLINK("https://klasma.github.io/Logging_2081/klagomålsmail/A 12314-2023 FSC-klagomål mail.docx", "A 12314-2023")</f>
        <v/>
      </c>
      <c r="X307">
        <f>HYPERLINK("https://klasma.github.io/Logging_2081/tillsyn/A 12314-2023 tillsynsbegäran.docx", "A 12314-2023")</f>
        <v/>
      </c>
      <c r="Y307">
        <f>HYPERLINK("https://klasma.github.io/Logging_2081/tillsynsmail/A 12314-2023 tillsynsbegäran mail.docx", "A 12314-2023")</f>
        <v/>
      </c>
    </row>
    <row r="308" ht="15" customHeight="1">
      <c r="A308" t="inlineStr">
        <is>
          <t>A 12444-2023</t>
        </is>
      </c>
      <c r="B308" s="1" t="n">
        <v>44999</v>
      </c>
      <c r="C308" s="1" t="n">
        <v>45217</v>
      </c>
      <c r="D308" t="inlineStr">
        <is>
          <t>DALARNAS LÄN</t>
        </is>
      </c>
      <c r="E308" t="inlineStr">
        <is>
          <t>BORLÄNGE</t>
        </is>
      </c>
      <c r="G308" t="n">
        <v>7.5</v>
      </c>
      <c r="H308" t="n">
        <v>1</v>
      </c>
      <c r="I308" t="n">
        <v>0</v>
      </c>
      <c r="J308" t="n">
        <v>2</v>
      </c>
      <c r="K308" t="n">
        <v>0</v>
      </c>
      <c r="L308" t="n">
        <v>0</v>
      </c>
      <c r="M308" t="n">
        <v>0</v>
      </c>
      <c r="N308" t="n">
        <v>0</v>
      </c>
      <c r="O308" t="n">
        <v>2</v>
      </c>
      <c r="P308" t="n">
        <v>0</v>
      </c>
      <c r="Q308" t="n">
        <v>2</v>
      </c>
      <c r="R308" s="2" t="inlineStr">
        <is>
          <t>Dofttaggsvamp
Talltita</t>
        </is>
      </c>
      <c r="S308">
        <f>HYPERLINK("https://klasma.github.io/Logging_2081/artfynd/A 12444-2023 artfynd.xlsx", "A 12444-2023")</f>
        <v/>
      </c>
      <c r="T308">
        <f>HYPERLINK("https://klasma.github.io/Logging_2081/kartor/A 12444-2023 karta.png", "A 12444-2023")</f>
        <v/>
      </c>
      <c r="V308">
        <f>HYPERLINK("https://klasma.github.io/Logging_2081/klagomål/A 12444-2023 FSC-klagomål.docx", "A 12444-2023")</f>
        <v/>
      </c>
      <c r="W308">
        <f>HYPERLINK("https://klasma.github.io/Logging_2081/klagomålsmail/A 12444-2023 FSC-klagomål mail.docx", "A 12444-2023")</f>
        <v/>
      </c>
      <c r="X308">
        <f>HYPERLINK("https://klasma.github.io/Logging_2081/tillsyn/A 12444-2023 tillsynsbegäran.docx", "A 12444-2023")</f>
        <v/>
      </c>
      <c r="Y308">
        <f>HYPERLINK("https://klasma.github.io/Logging_2081/tillsynsmail/A 12444-2023 tillsynsbegäran mail.docx", "A 12444-2023")</f>
        <v/>
      </c>
    </row>
    <row r="309" ht="15" customHeight="1">
      <c r="A309" t="inlineStr">
        <is>
          <t>A 13916-2023</t>
        </is>
      </c>
      <c r="B309" s="1" t="n">
        <v>45008</v>
      </c>
      <c r="C309" s="1" t="n">
        <v>45217</v>
      </c>
      <c r="D309" t="inlineStr">
        <is>
          <t>DALARNAS LÄN</t>
        </is>
      </c>
      <c r="E309" t="inlineStr">
        <is>
          <t>HEDEMORA</t>
        </is>
      </c>
      <c r="G309" t="n">
        <v>3.9</v>
      </c>
      <c r="H309" t="n">
        <v>1</v>
      </c>
      <c r="I309" t="n">
        <v>0</v>
      </c>
      <c r="J309" t="n">
        <v>1</v>
      </c>
      <c r="K309" t="n">
        <v>1</v>
      </c>
      <c r="L309" t="n">
        <v>0</v>
      </c>
      <c r="M309" t="n">
        <v>0</v>
      </c>
      <c r="N309" t="n">
        <v>0</v>
      </c>
      <c r="O309" t="n">
        <v>2</v>
      </c>
      <c r="P309" t="n">
        <v>1</v>
      </c>
      <c r="Q309" t="n">
        <v>2</v>
      </c>
      <c r="R309" s="2" t="inlineStr">
        <is>
          <t>Knärot
Skrovlig flatbagge</t>
        </is>
      </c>
      <c r="S309">
        <f>HYPERLINK("https://klasma.github.io/Logging_2083/artfynd/A 13916-2023 artfynd.xlsx", "A 13916-2023")</f>
        <v/>
      </c>
      <c r="T309">
        <f>HYPERLINK("https://klasma.github.io/Logging_2083/kartor/A 13916-2023 karta.png", "A 13916-2023")</f>
        <v/>
      </c>
      <c r="U309">
        <f>HYPERLINK("https://klasma.github.io/Logging_2083/knärot/A 13916-2023 karta knärot.png", "A 13916-2023")</f>
        <v/>
      </c>
      <c r="V309">
        <f>HYPERLINK("https://klasma.github.io/Logging_2083/klagomål/A 13916-2023 FSC-klagomål.docx", "A 13916-2023")</f>
        <v/>
      </c>
      <c r="W309">
        <f>HYPERLINK("https://klasma.github.io/Logging_2083/klagomålsmail/A 13916-2023 FSC-klagomål mail.docx", "A 13916-2023")</f>
        <v/>
      </c>
      <c r="X309">
        <f>HYPERLINK("https://klasma.github.io/Logging_2083/tillsyn/A 13916-2023 tillsynsbegäran.docx", "A 13916-2023")</f>
        <v/>
      </c>
      <c r="Y309">
        <f>HYPERLINK("https://klasma.github.io/Logging_2083/tillsynsmail/A 13916-2023 tillsynsbegäran mail.docx", "A 13916-2023")</f>
        <v/>
      </c>
    </row>
    <row r="310" ht="15" customHeight="1">
      <c r="A310" t="inlineStr">
        <is>
          <t>A 13989-2023</t>
        </is>
      </c>
      <c r="B310" s="1" t="n">
        <v>45008</v>
      </c>
      <c r="C310" s="1" t="n">
        <v>45217</v>
      </c>
      <c r="D310" t="inlineStr">
        <is>
          <t>DALARNAS LÄN</t>
        </is>
      </c>
      <c r="E310" t="inlineStr">
        <is>
          <t>HEDEMORA</t>
        </is>
      </c>
      <c r="G310" t="n">
        <v>1.2</v>
      </c>
      <c r="H310" t="n">
        <v>1</v>
      </c>
      <c r="I310" t="n">
        <v>1</v>
      </c>
      <c r="J310" t="n">
        <v>0</v>
      </c>
      <c r="K310" t="n">
        <v>1</v>
      </c>
      <c r="L310" t="n">
        <v>0</v>
      </c>
      <c r="M310" t="n">
        <v>0</v>
      </c>
      <c r="N310" t="n">
        <v>0</v>
      </c>
      <c r="O310" t="n">
        <v>1</v>
      </c>
      <c r="P310" t="n">
        <v>1</v>
      </c>
      <c r="Q310" t="n">
        <v>2</v>
      </c>
      <c r="R310" s="2" t="inlineStr">
        <is>
          <t>Knärot
Bronshjon</t>
        </is>
      </c>
      <c r="S310">
        <f>HYPERLINK("https://klasma.github.io/Logging_2083/artfynd/A 13989-2023 artfynd.xlsx", "A 13989-2023")</f>
        <v/>
      </c>
      <c r="T310">
        <f>HYPERLINK("https://klasma.github.io/Logging_2083/kartor/A 13989-2023 karta.png", "A 13989-2023")</f>
        <v/>
      </c>
      <c r="U310">
        <f>HYPERLINK("https://klasma.github.io/Logging_2083/knärot/A 13989-2023 karta knärot.png", "A 13989-2023")</f>
        <v/>
      </c>
      <c r="V310">
        <f>HYPERLINK("https://klasma.github.io/Logging_2083/klagomål/A 13989-2023 FSC-klagomål.docx", "A 13989-2023")</f>
        <v/>
      </c>
      <c r="W310">
        <f>HYPERLINK("https://klasma.github.io/Logging_2083/klagomålsmail/A 13989-2023 FSC-klagomål mail.docx", "A 13989-2023")</f>
        <v/>
      </c>
      <c r="X310">
        <f>HYPERLINK("https://klasma.github.io/Logging_2083/tillsyn/A 13989-2023 tillsynsbegäran.docx", "A 13989-2023")</f>
        <v/>
      </c>
      <c r="Y310">
        <f>HYPERLINK("https://klasma.github.io/Logging_2083/tillsynsmail/A 13989-2023 tillsynsbegäran mail.docx", "A 13989-2023")</f>
        <v/>
      </c>
    </row>
    <row r="311" ht="15" customHeight="1">
      <c r="A311" t="inlineStr">
        <is>
          <t>A 15210-2023</t>
        </is>
      </c>
      <c r="B311" s="1" t="n">
        <v>45018</v>
      </c>
      <c r="C311" s="1" t="n">
        <v>45217</v>
      </c>
      <c r="D311" t="inlineStr">
        <is>
          <t>DALARNAS LÄN</t>
        </is>
      </c>
      <c r="E311" t="inlineStr">
        <is>
          <t>SMEDJEBACKEN</t>
        </is>
      </c>
      <c r="G311" t="n">
        <v>9.4</v>
      </c>
      <c r="H311" t="n">
        <v>2</v>
      </c>
      <c r="I311" t="n">
        <v>0</v>
      </c>
      <c r="J311" t="n">
        <v>1</v>
      </c>
      <c r="K311" t="n">
        <v>0</v>
      </c>
      <c r="L311" t="n">
        <v>0</v>
      </c>
      <c r="M311" t="n">
        <v>0</v>
      </c>
      <c r="N311" t="n">
        <v>0</v>
      </c>
      <c r="O311" t="n">
        <v>1</v>
      </c>
      <c r="P311" t="n">
        <v>0</v>
      </c>
      <c r="Q311" t="n">
        <v>2</v>
      </c>
      <c r="R311" s="2" t="inlineStr">
        <is>
          <t>Nordfladdermus
Vattenfladdermus</t>
        </is>
      </c>
      <c r="S311">
        <f>HYPERLINK("https://klasma.github.io/Logging_2061/artfynd/A 15210-2023 artfynd.xlsx", "A 15210-2023")</f>
        <v/>
      </c>
      <c r="T311">
        <f>HYPERLINK("https://klasma.github.io/Logging_2061/kartor/A 15210-2023 karta.png", "A 15210-2023")</f>
        <v/>
      </c>
      <c r="V311">
        <f>HYPERLINK("https://klasma.github.io/Logging_2061/klagomål/A 15210-2023 FSC-klagomål.docx", "A 15210-2023")</f>
        <v/>
      </c>
      <c r="W311">
        <f>HYPERLINK("https://klasma.github.io/Logging_2061/klagomålsmail/A 15210-2023 FSC-klagomål mail.docx", "A 15210-2023")</f>
        <v/>
      </c>
      <c r="X311">
        <f>HYPERLINK("https://klasma.github.io/Logging_2061/tillsyn/A 15210-2023 tillsynsbegäran.docx", "A 15210-2023")</f>
        <v/>
      </c>
      <c r="Y311">
        <f>HYPERLINK("https://klasma.github.io/Logging_2061/tillsynsmail/A 15210-2023 tillsynsbegäran mail.docx", "A 15210-2023")</f>
        <v/>
      </c>
    </row>
    <row r="312" ht="15" customHeight="1">
      <c r="A312" t="inlineStr">
        <is>
          <t>A 16832-2023</t>
        </is>
      </c>
      <c r="B312" s="1" t="n">
        <v>45033</v>
      </c>
      <c r="C312" s="1" t="n">
        <v>45217</v>
      </c>
      <c r="D312" t="inlineStr">
        <is>
          <t>DALARNAS LÄN</t>
        </is>
      </c>
      <c r="E312" t="inlineStr">
        <is>
          <t>RÄTTVIK</t>
        </is>
      </c>
      <c r="G312" t="n">
        <v>1.7</v>
      </c>
      <c r="H312" t="n">
        <v>0</v>
      </c>
      <c r="I312" t="n">
        <v>0</v>
      </c>
      <c r="J312" t="n">
        <v>2</v>
      </c>
      <c r="K312" t="n">
        <v>0</v>
      </c>
      <c r="L312" t="n">
        <v>0</v>
      </c>
      <c r="M312" t="n">
        <v>0</v>
      </c>
      <c r="N312" t="n">
        <v>0</v>
      </c>
      <c r="O312" t="n">
        <v>2</v>
      </c>
      <c r="P312" t="n">
        <v>0</v>
      </c>
      <c r="Q312" t="n">
        <v>2</v>
      </c>
      <c r="R312" s="2" t="inlineStr">
        <is>
          <t>Garnlav
Ullticka</t>
        </is>
      </c>
      <c r="S312">
        <f>HYPERLINK("https://klasma.github.io/Logging_2031/artfynd/A 16832-2023 artfynd.xlsx", "A 16832-2023")</f>
        <v/>
      </c>
      <c r="T312">
        <f>HYPERLINK("https://klasma.github.io/Logging_2031/kartor/A 16832-2023 karta.png", "A 16832-2023")</f>
        <v/>
      </c>
      <c r="V312">
        <f>HYPERLINK("https://klasma.github.io/Logging_2031/klagomål/A 16832-2023 FSC-klagomål.docx", "A 16832-2023")</f>
        <v/>
      </c>
      <c r="W312">
        <f>HYPERLINK("https://klasma.github.io/Logging_2031/klagomålsmail/A 16832-2023 FSC-klagomål mail.docx", "A 16832-2023")</f>
        <v/>
      </c>
      <c r="X312">
        <f>HYPERLINK("https://klasma.github.io/Logging_2031/tillsyn/A 16832-2023 tillsynsbegäran.docx", "A 16832-2023")</f>
        <v/>
      </c>
      <c r="Y312">
        <f>HYPERLINK("https://klasma.github.io/Logging_2031/tillsynsmail/A 16832-2023 tillsynsbegäran mail.docx", "A 16832-2023")</f>
        <v/>
      </c>
    </row>
    <row r="313" ht="15" customHeight="1">
      <c r="A313" t="inlineStr">
        <is>
          <t>A 19338-2023</t>
        </is>
      </c>
      <c r="B313" s="1" t="n">
        <v>45049</v>
      </c>
      <c r="C313" s="1" t="n">
        <v>45217</v>
      </c>
      <c r="D313" t="inlineStr">
        <is>
          <t>DALARNAS LÄN</t>
        </is>
      </c>
      <c r="E313" t="inlineStr">
        <is>
          <t>LUDVIKA</t>
        </is>
      </c>
      <c r="G313" t="n">
        <v>13.7</v>
      </c>
      <c r="H313" t="n">
        <v>0</v>
      </c>
      <c r="I313" t="n">
        <v>1</v>
      </c>
      <c r="J313" t="n">
        <v>1</v>
      </c>
      <c r="K313" t="n">
        <v>0</v>
      </c>
      <c r="L313" t="n">
        <v>0</v>
      </c>
      <c r="M313" t="n">
        <v>0</v>
      </c>
      <c r="N313" t="n">
        <v>0</v>
      </c>
      <c r="O313" t="n">
        <v>1</v>
      </c>
      <c r="P313" t="n">
        <v>0</v>
      </c>
      <c r="Q313" t="n">
        <v>2</v>
      </c>
      <c r="R313" s="2" t="inlineStr">
        <is>
          <t>Motaggsvamp
Dropptaggsvamp</t>
        </is>
      </c>
      <c r="S313">
        <f>HYPERLINK("https://klasma.github.io/Logging_2085/artfynd/A 19338-2023 artfynd.xlsx", "A 19338-2023")</f>
        <v/>
      </c>
      <c r="T313">
        <f>HYPERLINK("https://klasma.github.io/Logging_2085/kartor/A 19338-2023 karta.png", "A 19338-2023")</f>
        <v/>
      </c>
      <c r="V313">
        <f>HYPERLINK("https://klasma.github.io/Logging_2085/klagomål/A 19338-2023 FSC-klagomål.docx", "A 19338-2023")</f>
        <v/>
      </c>
      <c r="W313">
        <f>HYPERLINK("https://klasma.github.io/Logging_2085/klagomålsmail/A 19338-2023 FSC-klagomål mail.docx", "A 19338-2023")</f>
        <v/>
      </c>
      <c r="X313">
        <f>HYPERLINK("https://klasma.github.io/Logging_2085/tillsyn/A 19338-2023 tillsynsbegäran.docx", "A 19338-2023")</f>
        <v/>
      </c>
      <c r="Y313">
        <f>HYPERLINK("https://klasma.github.io/Logging_2085/tillsynsmail/A 19338-2023 tillsynsbegäran mail.docx", "A 19338-2023")</f>
        <v/>
      </c>
    </row>
    <row r="314" ht="15" customHeight="1">
      <c r="A314" t="inlineStr">
        <is>
          <t>A 21074-2023</t>
        </is>
      </c>
      <c r="B314" s="1" t="n">
        <v>45061</v>
      </c>
      <c r="C314" s="1" t="n">
        <v>45217</v>
      </c>
      <c r="D314" t="inlineStr">
        <is>
          <t>DALARNAS LÄN</t>
        </is>
      </c>
      <c r="E314" t="inlineStr">
        <is>
          <t>LUDVIKA</t>
        </is>
      </c>
      <c r="F314" t="inlineStr">
        <is>
          <t>Bergvik skog väst AB</t>
        </is>
      </c>
      <c r="G314" t="n">
        <v>12</v>
      </c>
      <c r="H314" t="n">
        <v>0</v>
      </c>
      <c r="I314" t="n">
        <v>2</v>
      </c>
      <c r="J314" t="n">
        <v>0</v>
      </c>
      <c r="K314" t="n">
        <v>0</v>
      </c>
      <c r="L314" t="n">
        <v>0</v>
      </c>
      <c r="M314" t="n">
        <v>0</v>
      </c>
      <c r="N314" t="n">
        <v>0</v>
      </c>
      <c r="O314" t="n">
        <v>0</v>
      </c>
      <c r="P314" t="n">
        <v>0</v>
      </c>
      <c r="Q314" t="n">
        <v>2</v>
      </c>
      <c r="R314" s="2" t="inlineStr">
        <is>
          <t>Bårdlav
Korallblylav</t>
        </is>
      </c>
      <c r="S314">
        <f>HYPERLINK("https://klasma.github.io/Logging_2085/artfynd/A 21074-2023 artfynd.xlsx", "A 21074-2023")</f>
        <v/>
      </c>
      <c r="T314">
        <f>HYPERLINK("https://klasma.github.io/Logging_2085/kartor/A 21074-2023 karta.png", "A 21074-2023")</f>
        <v/>
      </c>
      <c r="V314">
        <f>HYPERLINK("https://klasma.github.io/Logging_2085/klagomål/A 21074-2023 FSC-klagomål.docx", "A 21074-2023")</f>
        <v/>
      </c>
      <c r="W314">
        <f>HYPERLINK("https://klasma.github.io/Logging_2085/klagomålsmail/A 21074-2023 FSC-klagomål mail.docx", "A 21074-2023")</f>
        <v/>
      </c>
      <c r="X314">
        <f>HYPERLINK("https://klasma.github.io/Logging_2085/tillsyn/A 21074-2023 tillsynsbegäran.docx", "A 21074-2023")</f>
        <v/>
      </c>
      <c r="Y314">
        <f>HYPERLINK("https://klasma.github.io/Logging_2085/tillsynsmail/A 21074-2023 tillsynsbegäran mail.docx", "A 21074-2023")</f>
        <v/>
      </c>
    </row>
    <row r="315" ht="15" customHeight="1">
      <c r="A315" t="inlineStr">
        <is>
          <t>A 21706-2023</t>
        </is>
      </c>
      <c r="B315" s="1" t="n">
        <v>45064</v>
      </c>
      <c r="C315" s="1" t="n">
        <v>45217</v>
      </c>
      <c r="D315" t="inlineStr">
        <is>
          <t>DALARNAS LÄN</t>
        </is>
      </c>
      <c r="E315" t="inlineStr">
        <is>
          <t>SMEDJEBACKEN</t>
        </is>
      </c>
      <c r="F315" t="inlineStr">
        <is>
          <t>Övriga Aktiebolag</t>
        </is>
      </c>
      <c r="G315" t="n">
        <v>7.1</v>
      </c>
      <c r="H315" t="n">
        <v>2</v>
      </c>
      <c r="I315" t="n">
        <v>0</v>
      </c>
      <c r="J315" t="n">
        <v>0</v>
      </c>
      <c r="K315" t="n">
        <v>0</v>
      </c>
      <c r="L315" t="n">
        <v>0</v>
      </c>
      <c r="M315" t="n">
        <v>0</v>
      </c>
      <c r="N315" t="n">
        <v>0</v>
      </c>
      <c r="O315" t="n">
        <v>0</v>
      </c>
      <c r="P315" t="n">
        <v>0</v>
      </c>
      <c r="Q315" t="n">
        <v>2</v>
      </c>
      <c r="R315" s="2" t="inlineStr">
        <is>
          <t>Fläcknycklar
Mattlummer</t>
        </is>
      </c>
      <c r="S315">
        <f>HYPERLINK("https://klasma.github.io/Logging_2061/artfynd/A 21706-2023 artfynd.xlsx", "A 21706-2023")</f>
        <v/>
      </c>
      <c r="T315">
        <f>HYPERLINK("https://klasma.github.io/Logging_2061/kartor/A 21706-2023 karta.png", "A 21706-2023")</f>
        <v/>
      </c>
      <c r="V315">
        <f>HYPERLINK("https://klasma.github.io/Logging_2061/klagomål/A 21706-2023 FSC-klagomål.docx", "A 21706-2023")</f>
        <v/>
      </c>
      <c r="W315">
        <f>HYPERLINK("https://klasma.github.io/Logging_2061/klagomålsmail/A 21706-2023 FSC-klagomål mail.docx", "A 21706-2023")</f>
        <v/>
      </c>
      <c r="X315">
        <f>HYPERLINK("https://klasma.github.io/Logging_2061/tillsyn/A 21706-2023 tillsynsbegäran.docx", "A 21706-2023")</f>
        <v/>
      </c>
      <c r="Y315">
        <f>HYPERLINK("https://klasma.github.io/Logging_2061/tillsynsmail/A 21706-2023 tillsynsbegäran mail.docx", "A 21706-2023")</f>
        <v/>
      </c>
    </row>
    <row r="316" ht="15" customHeight="1">
      <c r="A316" t="inlineStr">
        <is>
          <t>A 21926-2023</t>
        </is>
      </c>
      <c r="B316" s="1" t="n">
        <v>45068</v>
      </c>
      <c r="C316" s="1" t="n">
        <v>45217</v>
      </c>
      <c r="D316" t="inlineStr">
        <is>
          <t>DALARNAS LÄN</t>
        </is>
      </c>
      <c r="E316" t="inlineStr">
        <is>
          <t>BORLÄNGE</t>
        </is>
      </c>
      <c r="G316" t="n">
        <v>1.4</v>
      </c>
      <c r="H316" t="n">
        <v>1</v>
      </c>
      <c r="I316" t="n">
        <v>1</v>
      </c>
      <c r="J316" t="n">
        <v>0</v>
      </c>
      <c r="K316" t="n">
        <v>1</v>
      </c>
      <c r="L316" t="n">
        <v>0</v>
      </c>
      <c r="M316" t="n">
        <v>0</v>
      </c>
      <c r="N316" t="n">
        <v>0</v>
      </c>
      <c r="O316" t="n">
        <v>1</v>
      </c>
      <c r="P316" t="n">
        <v>1</v>
      </c>
      <c r="Q316" t="n">
        <v>2</v>
      </c>
      <c r="R316" s="2" t="inlineStr">
        <is>
          <t>Knärot
Vedticka</t>
        </is>
      </c>
      <c r="S316">
        <f>HYPERLINK("https://klasma.github.io/Logging_2081/artfynd/A 21926-2023 artfynd.xlsx", "A 21926-2023")</f>
        <v/>
      </c>
      <c r="T316">
        <f>HYPERLINK("https://klasma.github.io/Logging_2081/kartor/A 21926-2023 karta.png", "A 21926-2023")</f>
        <v/>
      </c>
      <c r="U316">
        <f>HYPERLINK("https://klasma.github.io/Logging_2081/knärot/A 21926-2023 karta knärot.png", "A 21926-2023")</f>
        <v/>
      </c>
      <c r="V316">
        <f>HYPERLINK("https://klasma.github.io/Logging_2081/klagomål/A 21926-2023 FSC-klagomål.docx", "A 21926-2023")</f>
        <v/>
      </c>
      <c r="W316">
        <f>HYPERLINK("https://klasma.github.io/Logging_2081/klagomålsmail/A 21926-2023 FSC-klagomål mail.docx", "A 21926-2023")</f>
        <v/>
      </c>
      <c r="X316">
        <f>HYPERLINK("https://klasma.github.io/Logging_2081/tillsyn/A 21926-2023 tillsynsbegäran.docx", "A 21926-2023")</f>
        <v/>
      </c>
      <c r="Y316">
        <f>HYPERLINK("https://klasma.github.io/Logging_2081/tillsynsmail/A 21926-2023 tillsynsbegäran mail.docx", "A 21926-2023")</f>
        <v/>
      </c>
    </row>
    <row r="317" ht="15" customHeight="1">
      <c r="A317" t="inlineStr">
        <is>
          <t>A 21857-2023</t>
        </is>
      </c>
      <c r="B317" s="1" t="n">
        <v>45068</v>
      </c>
      <c r="C317" s="1" t="n">
        <v>45217</v>
      </c>
      <c r="D317" t="inlineStr">
        <is>
          <t>DALARNAS LÄN</t>
        </is>
      </c>
      <c r="E317" t="inlineStr">
        <is>
          <t>ÄLVDALEN</t>
        </is>
      </c>
      <c r="F317" t="inlineStr">
        <is>
          <t>Allmännings- och besparingsskogar</t>
        </is>
      </c>
      <c r="G317" t="n">
        <v>25.2</v>
      </c>
      <c r="H317" t="n">
        <v>1</v>
      </c>
      <c r="I317" t="n">
        <v>0</v>
      </c>
      <c r="J317" t="n">
        <v>2</v>
      </c>
      <c r="K317" t="n">
        <v>0</v>
      </c>
      <c r="L317" t="n">
        <v>0</v>
      </c>
      <c r="M317" t="n">
        <v>0</v>
      </c>
      <c r="N317" t="n">
        <v>0</v>
      </c>
      <c r="O317" t="n">
        <v>2</v>
      </c>
      <c r="P317" t="n">
        <v>0</v>
      </c>
      <c r="Q317" t="n">
        <v>2</v>
      </c>
      <c r="R317" s="2" t="inlineStr">
        <is>
          <t>Svartvit flugsnappare
Vedflamlav</t>
        </is>
      </c>
      <c r="S317">
        <f>HYPERLINK("https://klasma.github.io/Logging_2039/artfynd/A 21857-2023 artfynd.xlsx", "A 21857-2023")</f>
        <v/>
      </c>
      <c r="T317">
        <f>HYPERLINK("https://klasma.github.io/Logging_2039/kartor/A 21857-2023 karta.png", "A 21857-2023")</f>
        <v/>
      </c>
      <c r="V317">
        <f>HYPERLINK("https://klasma.github.io/Logging_2039/klagomål/A 21857-2023 FSC-klagomål.docx", "A 21857-2023")</f>
        <v/>
      </c>
      <c r="W317">
        <f>HYPERLINK("https://klasma.github.io/Logging_2039/klagomålsmail/A 21857-2023 FSC-klagomål mail.docx", "A 21857-2023")</f>
        <v/>
      </c>
      <c r="X317">
        <f>HYPERLINK("https://klasma.github.io/Logging_2039/tillsyn/A 21857-2023 tillsynsbegäran.docx", "A 21857-2023")</f>
        <v/>
      </c>
      <c r="Y317">
        <f>HYPERLINK("https://klasma.github.io/Logging_2039/tillsynsmail/A 21857-2023 tillsynsbegäran mail.docx", "A 21857-2023")</f>
        <v/>
      </c>
    </row>
    <row r="318" ht="15" customHeight="1">
      <c r="A318" t="inlineStr">
        <is>
          <t>A 23652-2023</t>
        </is>
      </c>
      <c r="B318" s="1" t="n">
        <v>45074</v>
      </c>
      <c r="C318" s="1" t="n">
        <v>45217</v>
      </c>
      <c r="D318" t="inlineStr">
        <is>
          <t>DALARNAS LÄN</t>
        </is>
      </c>
      <c r="E318" t="inlineStr">
        <is>
          <t>BORLÄNGE</t>
        </is>
      </c>
      <c r="G318" t="n">
        <v>1.4</v>
      </c>
      <c r="H318" t="n">
        <v>1</v>
      </c>
      <c r="I318" t="n">
        <v>1</v>
      </c>
      <c r="J318" t="n">
        <v>1</v>
      </c>
      <c r="K318" t="n">
        <v>0</v>
      </c>
      <c r="L318" t="n">
        <v>0</v>
      </c>
      <c r="M318" t="n">
        <v>0</v>
      </c>
      <c r="N318" t="n">
        <v>0</v>
      </c>
      <c r="O318" t="n">
        <v>1</v>
      </c>
      <c r="P318" t="n">
        <v>0</v>
      </c>
      <c r="Q318" t="n">
        <v>2</v>
      </c>
      <c r="R318" s="2" t="inlineStr">
        <is>
          <t>Spillkråka
Tibast</t>
        </is>
      </c>
      <c r="S318">
        <f>HYPERLINK("https://klasma.github.io/Logging_2081/artfynd/A 23652-2023 artfynd.xlsx", "A 23652-2023")</f>
        <v/>
      </c>
      <c r="T318">
        <f>HYPERLINK("https://klasma.github.io/Logging_2081/kartor/A 23652-2023 karta.png", "A 23652-2023")</f>
        <v/>
      </c>
      <c r="V318">
        <f>HYPERLINK("https://klasma.github.io/Logging_2081/klagomål/A 23652-2023 FSC-klagomål.docx", "A 23652-2023")</f>
        <v/>
      </c>
      <c r="W318">
        <f>HYPERLINK("https://klasma.github.io/Logging_2081/klagomålsmail/A 23652-2023 FSC-klagomål mail.docx", "A 23652-2023")</f>
        <v/>
      </c>
      <c r="X318">
        <f>HYPERLINK("https://klasma.github.io/Logging_2081/tillsyn/A 23652-2023 tillsynsbegäran.docx", "A 23652-2023")</f>
        <v/>
      </c>
      <c r="Y318">
        <f>HYPERLINK("https://klasma.github.io/Logging_2081/tillsynsmail/A 23652-2023 tillsynsbegäran mail.docx", "A 23652-2023")</f>
        <v/>
      </c>
    </row>
    <row r="319" ht="15" customHeight="1">
      <c r="A319" t="inlineStr">
        <is>
          <t>A 25378-2023</t>
        </is>
      </c>
      <c r="B319" s="1" t="n">
        <v>45089</v>
      </c>
      <c r="C319" s="1" t="n">
        <v>45217</v>
      </c>
      <c r="D319" t="inlineStr">
        <is>
          <t>DALARNAS LÄN</t>
        </is>
      </c>
      <c r="E319" t="inlineStr">
        <is>
          <t>ÄLVDALEN</t>
        </is>
      </c>
      <c r="F319" t="inlineStr">
        <is>
          <t>Sveaskog</t>
        </is>
      </c>
      <c r="G319" t="n">
        <v>2.8</v>
      </c>
      <c r="H319" t="n">
        <v>0</v>
      </c>
      <c r="I319" t="n">
        <v>0</v>
      </c>
      <c r="J319" t="n">
        <v>2</v>
      </c>
      <c r="K319" t="n">
        <v>0</v>
      </c>
      <c r="L319" t="n">
        <v>0</v>
      </c>
      <c r="M319" t="n">
        <v>0</v>
      </c>
      <c r="N319" t="n">
        <v>0</v>
      </c>
      <c r="O319" t="n">
        <v>2</v>
      </c>
      <c r="P319" t="n">
        <v>0</v>
      </c>
      <c r="Q319" t="n">
        <v>2</v>
      </c>
      <c r="R319" s="2" t="inlineStr">
        <is>
          <t>Blanksvart spiklav
Garnlav</t>
        </is>
      </c>
      <c r="S319">
        <f>HYPERLINK("https://klasma.github.io/Logging_2039/artfynd/A 25378-2023 artfynd.xlsx", "A 25378-2023")</f>
        <v/>
      </c>
      <c r="T319">
        <f>HYPERLINK("https://klasma.github.io/Logging_2039/kartor/A 25378-2023 karta.png", "A 25378-2023")</f>
        <v/>
      </c>
      <c r="V319">
        <f>HYPERLINK("https://klasma.github.io/Logging_2039/klagomål/A 25378-2023 FSC-klagomål.docx", "A 25378-2023")</f>
        <v/>
      </c>
      <c r="W319">
        <f>HYPERLINK("https://klasma.github.io/Logging_2039/klagomålsmail/A 25378-2023 FSC-klagomål mail.docx", "A 25378-2023")</f>
        <v/>
      </c>
      <c r="X319">
        <f>HYPERLINK("https://klasma.github.io/Logging_2039/tillsyn/A 25378-2023 tillsynsbegäran.docx", "A 25378-2023")</f>
        <v/>
      </c>
      <c r="Y319">
        <f>HYPERLINK("https://klasma.github.io/Logging_2039/tillsynsmail/A 25378-2023 tillsynsbegäran mail.docx", "A 25378-2023")</f>
        <v/>
      </c>
    </row>
    <row r="320" ht="15" customHeight="1">
      <c r="A320" t="inlineStr">
        <is>
          <t>A 26587-2023</t>
        </is>
      </c>
      <c r="B320" s="1" t="n">
        <v>45092</v>
      </c>
      <c r="C320" s="1" t="n">
        <v>45217</v>
      </c>
      <c r="D320" t="inlineStr">
        <is>
          <t>DALARNAS LÄN</t>
        </is>
      </c>
      <c r="E320" t="inlineStr">
        <is>
          <t>MORA</t>
        </is>
      </c>
      <c r="G320" t="n">
        <v>2.1</v>
      </c>
      <c r="H320" t="n">
        <v>0</v>
      </c>
      <c r="I320" t="n">
        <v>1</v>
      </c>
      <c r="J320" t="n">
        <v>1</v>
      </c>
      <c r="K320" t="n">
        <v>0</v>
      </c>
      <c r="L320" t="n">
        <v>0</v>
      </c>
      <c r="M320" t="n">
        <v>0</v>
      </c>
      <c r="N320" t="n">
        <v>0</v>
      </c>
      <c r="O320" t="n">
        <v>1</v>
      </c>
      <c r="P320" t="n">
        <v>0</v>
      </c>
      <c r="Q320" t="n">
        <v>2</v>
      </c>
      <c r="R320" s="2" t="inlineStr">
        <is>
          <t>Motaggsvamp
Mindre märgborre</t>
        </is>
      </c>
      <c r="S320">
        <f>HYPERLINK("https://klasma.github.io/Logging_2062/artfynd/A 26587-2023 artfynd.xlsx", "A 26587-2023")</f>
        <v/>
      </c>
      <c r="T320">
        <f>HYPERLINK("https://klasma.github.io/Logging_2062/kartor/A 26587-2023 karta.png", "A 26587-2023")</f>
        <v/>
      </c>
      <c r="V320">
        <f>HYPERLINK("https://klasma.github.io/Logging_2062/klagomål/A 26587-2023 FSC-klagomål.docx", "A 26587-2023")</f>
        <v/>
      </c>
      <c r="W320">
        <f>HYPERLINK("https://klasma.github.io/Logging_2062/klagomålsmail/A 26587-2023 FSC-klagomål mail.docx", "A 26587-2023")</f>
        <v/>
      </c>
      <c r="X320">
        <f>HYPERLINK("https://klasma.github.io/Logging_2062/tillsyn/A 26587-2023 tillsynsbegäran.docx", "A 26587-2023")</f>
        <v/>
      </c>
      <c r="Y320">
        <f>HYPERLINK("https://klasma.github.io/Logging_2062/tillsynsmail/A 26587-2023 tillsynsbegäran mail.docx", "A 26587-2023")</f>
        <v/>
      </c>
    </row>
    <row r="321" ht="15" customHeight="1">
      <c r="A321" t="inlineStr">
        <is>
          <t>A 31009-2023</t>
        </is>
      </c>
      <c r="B321" s="1" t="n">
        <v>45103</v>
      </c>
      <c r="C321" s="1" t="n">
        <v>45217</v>
      </c>
      <c r="D321" t="inlineStr">
        <is>
          <t>DALARNAS LÄN</t>
        </is>
      </c>
      <c r="E321" t="inlineStr">
        <is>
          <t>AVESTA</t>
        </is>
      </c>
      <c r="F321" t="inlineStr">
        <is>
          <t>Bergvik skog väst AB</t>
        </is>
      </c>
      <c r="G321" t="n">
        <v>46.4</v>
      </c>
      <c r="H321" t="n">
        <v>1</v>
      </c>
      <c r="I321" t="n">
        <v>1</v>
      </c>
      <c r="J321" t="n">
        <v>0</v>
      </c>
      <c r="K321" t="n">
        <v>0</v>
      </c>
      <c r="L321" t="n">
        <v>0</v>
      </c>
      <c r="M321" t="n">
        <v>0</v>
      </c>
      <c r="N321" t="n">
        <v>0</v>
      </c>
      <c r="O321" t="n">
        <v>0</v>
      </c>
      <c r="P321" t="n">
        <v>0</v>
      </c>
      <c r="Q321" t="n">
        <v>2</v>
      </c>
      <c r="R321" s="2" t="inlineStr">
        <is>
          <t>Jättesvampmal
Blåsippa</t>
        </is>
      </c>
      <c r="S321">
        <f>HYPERLINK("https://klasma.github.io/Logging_2084/artfynd/A 31009-2023 artfynd.xlsx", "A 31009-2023")</f>
        <v/>
      </c>
      <c r="T321">
        <f>HYPERLINK("https://klasma.github.io/Logging_2084/kartor/A 31009-2023 karta.png", "A 31009-2023")</f>
        <v/>
      </c>
      <c r="V321">
        <f>HYPERLINK("https://klasma.github.io/Logging_2084/klagomål/A 31009-2023 FSC-klagomål.docx", "A 31009-2023")</f>
        <v/>
      </c>
      <c r="W321">
        <f>HYPERLINK("https://klasma.github.io/Logging_2084/klagomålsmail/A 31009-2023 FSC-klagomål mail.docx", "A 31009-2023")</f>
        <v/>
      </c>
      <c r="X321">
        <f>HYPERLINK("https://klasma.github.io/Logging_2084/tillsyn/A 31009-2023 tillsynsbegäran.docx", "A 31009-2023")</f>
        <v/>
      </c>
      <c r="Y321">
        <f>HYPERLINK("https://klasma.github.io/Logging_2084/tillsynsmail/A 31009-2023 tillsynsbegäran mail.docx", "A 31009-2023")</f>
        <v/>
      </c>
    </row>
    <row r="322" ht="15" customHeight="1">
      <c r="A322" t="inlineStr">
        <is>
          <t>A 29296-2023</t>
        </is>
      </c>
      <c r="B322" s="1" t="n">
        <v>45105</v>
      </c>
      <c r="C322" s="1" t="n">
        <v>45217</v>
      </c>
      <c r="D322" t="inlineStr">
        <is>
          <t>DALARNAS LÄN</t>
        </is>
      </c>
      <c r="E322" t="inlineStr">
        <is>
          <t>SÄTER</t>
        </is>
      </c>
      <c r="F322" t="inlineStr">
        <is>
          <t>Bergvik skog väst AB</t>
        </is>
      </c>
      <c r="G322" t="n">
        <v>3.7</v>
      </c>
      <c r="H322" t="n">
        <v>0</v>
      </c>
      <c r="I322" t="n">
        <v>2</v>
      </c>
      <c r="J322" t="n">
        <v>0</v>
      </c>
      <c r="K322" t="n">
        <v>0</v>
      </c>
      <c r="L322" t="n">
        <v>0</v>
      </c>
      <c r="M322" t="n">
        <v>0</v>
      </c>
      <c r="N322" t="n">
        <v>0</v>
      </c>
      <c r="O322" t="n">
        <v>0</v>
      </c>
      <c r="P322" t="n">
        <v>0</v>
      </c>
      <c r="Q322" t="n">
        <v>2</v>
      </c>
      <c r="R322" s="2" t="inlineStr">
        <is>
          <t>Gullgröppa
Rödgul trumpetsvamp</t>
        </is>
      </c>
      <c r="S322">
        <f>HYPERLINK("https://klasma.github.io/Logging_2082/artfynd/A 29296-2023 artfynd.xlsx", "A 29296-2023")</f>
        <v/>
      </c>
      <c r="T322">
        <f>HYPERLINK("https://klasma.github.io/Logging_2082/kartor/A 29296-2023 karta.png", "A 29296-2023")</f>
        <v/>
      </c>
      <c r="V322">
        <f>HYPERLINK("https://klasma.github.io/Logging_2082/klagomål/A 29296-2023 FSC-klagomål.docx", "A 29296-2023")</f>
        <v/>
      </c>
      <c r="W322">
        <f>HYPERLINK("https://klasma.github.io/Logging_2082/klagomålsmail/A 29296-2023 FSC-klagomål mail.docx", "A 29296-2023")</f>
        <v/>
      </c>
      <c r="X322">
        <f>HYPERLINK("https://klasma.github.io/Logging_2082/tillsyn/A 29296-2023 tillsynsbegäran.docx", "A 29296-2023")</f>
        <v/>
      </c>
      <c r="Y322">
        <f>HYPERLINK("https://klasma.github.io/Logging_2082/tillsynsmail/A 29296-2023 tillsynsbegäran mail.docx", "A 29296-2023")</f>
        <v/>
      </c>
    </row>
    <row r="323" ht="15" customHeight="1">
      <c r="A323" t="inlineStr">
        <is>
          <t>A 30278-2023</t>
        </is>
      </c>
      <c r="B323" s="1" t="n">
        <v>45110</v>
      </c>
      <c r="C323" s="1" t="n">
        <v>45217</v>
      </c>
      <c r="D323" t="inlineStr">
        <is>
          <t>DALARNAS LÄN</t>
        </is>
      </c>
      <c r="E323" t="inlineStr">
        <is>
          <t>MORA</t>
        </is>
      </c>
      <c r="G323" t="n">
        <v>16</v>
      </c>
      <c r="H323" t="n">
        <v>0</v>
      </c>
      <c r="I323" t="n">
        <v>1</v>
      </c>
      <c r="J323" t="n">
        <v>0</v>
      </c>
      <c r="K323" t="n">
        <v>1</v>
      </c>
      <c r="L323" t="n">
        <v>0</v>
      </c>
      <c r="M323" t="n">
        <v>0</v>
      </c>
      <c r="N323" t="n">
        <v>0</v>
      </c>
      <c r="O323" t="n">
        <v>1</v>
      </c>
      <c r="P323" t="n">
        <v>1</v>
      </c>
      <c r="Q323" t="n">
        <v>2</v>
      </c>
      <c r="R323" s="2" t="inlineStr">
        <is>
          <t>Tallbarksvartbagge
Mindre märgborre</t>
        </is>
      </c>
      <c r="S323">
        <f>HYPERLINK("https://klasma.github.io/Logging_2062/artfynd/A 30278-2023 artfynd.xlsx", "A 30278-2023")</f>
        <v/>
      </c>
      <c r="T323">
        <f>HYPERLINK("https://klasma.github.io/Logging_2062/kartor/A 30278-2023 karta.png", "A 30278-2023")</f>
        <v/>
      </c>
      <c r="V323">
        <f>HYPERLINK("https://klasma.github.io/Logging_2062/klagomål/A 30278-2023 FSC-klagomål.docx", "A 30278-2023")</f>
        <v/>
      </c>
      <c r="W323">
        <f>HYPERLINK("https://klasma.github.io/Logging_2062/klagomålsmail/A 30278-2023 FSC-klagomål mail.docx", "A 30278-2023")</f>
        <v/>
      </c>
      <c r="X323">
        <f>HYPERLINK("https://klasma.github.io/Logging_2062/tillsyn/A 30278-2023 tillsynsbegäran.docx", "A 30278-2023")</f>
        <v/>
      </c>
      <c r="Y323">
        <f>HYPERLINK("https://klasma.github.io/Logging_2062/tillsynsmail/A 30278-2023 tillsynsbegäran mail.docx", "A 30278-2023")</f>
        <v/>
      </c>
    </row>
    <row r="324" ht="15" customHeight="1">
      <c r="A324" t="inlineStr">
        <is>
          <t>A 31680-2023</t>
        </is>
      </c>
      <c r="B324" s="1" t="n">
        <v>45117</v>
      </c>
      <c r="C324" s="1" t="n">
        <v>45217</v>
      </c>
      <c r="D324" t="inlineStr">
        <is>
          <t>DALARNAS LÄN</t>
        </is>
      </c>
      <c r="E324" t="inlineStr">
        <is>
          <t>BORLÄNGE</t>
        </is>
      </c>
      <c r="G324" t="n">
        <v>2.8</v>
      </c>
      <c r="H324" t="n">
        <v>1</v>
      </c>
      <c r="I324" t="n">
        <v>1</v>
      </c>
      <c r="J324" t="n">
        <v>0</v>
      </c>
      <c r="K324" t="n">
        <v>0</v>
      </c>
      <c r="L324" t="n">
        <v>0</v>
      </c>
      <c r="M324" t="n">
        <v>0</v>
      </c>
      <c r="N324" t="n">
        <v>0</v>
      </c>
      <c r="O324" t="n">
        <v>0</v>
      </c>
      <c r="P324" t="n">
        <v>0</v>
      </c>
      <c r="Q324" t="n">
        <v>2</v>
      </c>
      <c r="R324" s="2" t="inlineStr">
        <is>
          <t>Vågbandad barkbock
Blåsippa</t>
        </is>
      </c>
      <c r="S324">
        <f>HYPERLINK("https://klasma.github.io/Logging_2081/artfynd/A 31680-2023 artfynd.xlsx", "A 31680-2023")</f>
        <v/>
      </c>
      <c r="T324">
        <f>HYPERLINK("https://klasma.github.io/Logging_2081/kartor/A 31680-2023 karta.png", "A 31680-2023")</f>
        <v/>
      </c>
      <c r="V324">
        <f>HYPERLINK("https://klasma.github.io/Logging_2081/klagomål/A 31680-2023 FSC-klagomål.docx", "A 31680-2023")</f>
        <v/>
      </c>
      <c r="W324">
        <f>HYPERLINK("https://klasma.github.io/Logging_2081/klagomålsmail/A 31680-2023 FSC-klagomål mail.docx", "A 31680-2023")</f>
        <v/>
      </c>
      <c r="X324">
        <f>HYPERLINK("https://klasma.github.io/Logging_2081/tillsyn/A 31680-2023 tillsynsbegäran.docx", "A 31680-2023")</f>
        <v/>
      </c>
      <c r="Y324">
        <f>HYPERLINK("https://klasma.github.io/Logging_2081/tillsynsmail/A 31680-2023 tillsynsbegäran mail.docx", "A 31680-2023")</f>
        <v/>
      </c>
    </row>
    <row r="325" ht="15" customHeight="1">
      <c r="A325" t="inlineStr">
        <is>
          <t>A 32643-2023</t>
        </is>
      </c>
      <c r="B325" s="1" t="n">
        <v>45121</v>
      </c>
      <c r="C325" s="1" t="n">
        <v>45217</v>
      </c>
      <c r="D325" t="inlineStr">
        <is>
          <t>DALARNAS LÄN</t>
        </is>
      </c>
      <c r="E325" t="inlineStr">
        <is>
          <t>LUDVIKA</t>
        </is>
      </c>
      <c r="F325" t="inlineStr">
        <is>
          <t>Bergvik skog väst AB</t>
        </is>
      </c>
      <c r="G325" t="n">
        <v>12.2</v>
      </c>
      <c r="H325" t="n">
        <v>0</v>
      </c>
      <c r="I325" t="n">
        <v>2</v>
      </c>
      <c r="J325" t="n">
        <v>0</v>
      </c>
      <c r="K325" t="n">
        <v>0</v>
      </c>
      <c r="L325" t="n">
        <v>0</v>
      </c>
      <c r="M325" t="n">
        <v>0</v>
      </c>
      <c r="N325" t="n">
        <v>0</v>
      </c>
      <c r="O325" t="n">
        <v>0</v>
      </c>
      <c r="P325" t="n">
        <v>0</v>
      </c>
      <c r="Q325" t="n">
        <v>2</v>
      </c>
      <c r="R325" s="2" t="inlineStr">
        <is>
          <t>Aprikosfingersvamp
Honungsvaxskivling</t>
        </is>
      </c>
      <c r="S325">
        <f>HYPERLINK("https://klasma.github.io/Logging_2085/artfynd/A 32643-2023 artfynd.xlsx", "A 32643-2023")</f>
        <v/>
      </c>
      <c r="T325">
        <f>HYPERLINK("https://klasma.github.io/Logging_2085/kartor/A 32643-2023 karta.png", "A 32643-2023")</f>
        <v/>
      </c>
      <c r="V325">
        <f>HYPERLINK("https://klasma.github.io/Logging_2085/klagomål/A 32643-2023 FSC-klagomål.docx", "A 32643-2023")</f>
        <v/>
      </c>
      <c r="W325">
        <f>HYPERLINK("https://klasma.github.io/Logging_2085/klagomålsmail/A 32643-2023 FSC-klagomål mail.docx", "A 32643-2023")</f>
        <v/>
      </c>
      <c r="X325">
        <f>HYPERLINK("https://klasma.github.io/Logging_2085/tillsyn/A 32643-2023 tillsynsbegäran.docx", "A 32643-2023")</f>
        <v/>
      </c>
      <c r="Y325">
        <f>HYPERLINK("https://klasma.github.io/Logging_2085/tillsynsmail/A 32643-2023 tillsynsbegäran mail.docx", "A 32643-2023")</f>
        <v/>
      </c>
    </row>
    <row r="326" ht="15" customHeight="1">
      <c r="A326" t="inlineStr">
        <is>
          <t>A 35184-2023</t>
        </is>
      </c>
      <c r="B326" s="1" t="n">
        <v>45145</v>
      </c>
      <c r="C326" s="1" t="n">
        <v>45217</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 artfynd.xlsx", "A 35184-2023")</f>
        <v/>
      </c>
      <c r="T326">
        <f>HYPERLINK("https://klasma.github.io/Logging_2039/kartor/A 35184-2023 karta.png", "A 35184-2023")</f>
        <v/>
      </c>
      <c r="V326">
        <f>HYPERLINK("https://klasma.github.io/Logging_2039/klagomål/A 35184-2023 FSC-klagomål.docx", "A 35184-2023")</f>
        <v/>
      </c>
      <c r="W326">
        <f>HYPERLINK("https://klasma.github.io/Logging_2039/klagomålsmail/A 35184-2023 FSC-klagomål mail.docx", "A 35184-2023")</f>
        <v/>
      </c>
      <c r="X326">
        <f>HYPERLINK("https://klasma.github.io/Logging_2039/tillsyn/A 35184-2023 tillsynsbegäran.docx", "A 35184-2023")</f>
        <v/>
      </c>
      <c r="Y326">
        <f>HYPERLINK("https://klasma.github.io/Logging_2039/tillsynsmail/A 35184-2023 tillsynsbegäran mail.docx", "A 35184-2023")</f>
        <v/>
      </c>
    </row>
    <row r="327" ht="15" customHeight="1">
      <c r="A327" t="inlineStr">
        <is>
          <t>A 35329-2023</t>
        </is>
      </c>
      <c r="B327" s="1" t="n">
        <v>45146</v>
      </c>
      <c r="C327" s="1" t="n">
        <v>45217</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 artfynd.xlsx", "A 35329-2023")</f>
        <v/>
      </c>
      <c r="T327">
        <f>HYPERLINK("https://klasma.github.io/Logging_2023/kartor/A 35329-2023 karta.png", "A 35329-2023")</f>
        <v/>
      </c>
      <c r="V327">
        <f>HYPERLINK("https://klasma.github.io/Logging_2023/klagomål/A 35329-2023 FSC-klagomål.docx", "A 35329-2023")</f>
        <v/>
      </c>
      <c r="W327">
        <f>HYPERLINK("https://klasma.github.io/Logging_2023/klagomålsmail/A 35329-2023 FSC-klagomål mail.docx", "A 35329-2023")</f>
        <v/>
      </c>
      <c r="X327">
        <f>HYPERLINK("https://klasma.github.io/Logging_2023/tillsyn/A 35329-2023 tillsynsbegäran.docx", "A 35329-2023")</f>
        <v/>
      </c>
      <c r="Y327">
        <f>HYPERLINK("https://klasma.github.io/Logging_2023/tillsynsmail/A 35329-2023 tillsynsbegäran mail.docx", "A 35329-2023")</f>
        <v/>
      </c>
    </row>
    <row r="328" ht="15" customHeight="1">
      <c r="A328" t="inlineStr">
        <is>
          <t>A 37664-2023</t>
        </is>
      </c>
      <c r="B328" s="1" t="n">
        <v>45159</v>
      </c>
      <c r="C328" s="1" t="n">
        <v>45217</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 artfynd.xlsx", "A 37664-2023")</f>
        <v/>
      </c>
      <c r="T328">
        <f>HYPERLINK("https://klasma.github.io/Logging_2039/kartor/A 37664-2023 karta.png", "A 37664-2023")</f>
        <v/>
      </c>
      <c r="V328">
        <f>HYPERLINK("https://klasma.github.io/Logging_2039/klagomål/A 37664-2023 FSC-klagomål.docx", "A 37664-2023")</f>
        <v/>
      </c>
      <c r="W328">
        <f>HYPERLINK("https://klasma.github.io/Logging_2039/klagomålsmail/A 37664-2023 FSC-klagomål mail.docx", "A 37664-2023")</f>
        <v/>
      </c>
      <c r="X328">
        <f>HYPERLINK("https://klasma.github.io/Logging_2039/tillsyn/A 37664-2023 tillsynsbegäran.docx", "A 37664-2023")</f>
        <v/>
      </c>
      <c r="Y328">
        <f>HYPERLINK("https://klasma.github.io/Logging_2039/tillsynsmail/A 37664-2023 tillsynsbegäran mail.docx", "A 37664-2023")</f>
        <v/>
      </c>
    </row>
    <row r="329" ht="15" customHeight="1">
      <c r="A329" t="inlineStr">
        <is>
          <t>A 34447-2018</t>
        </is>
      </c>
      <c r="B329" s="1" t="n">
        <v>43319</v>
      </c>
      <c r="C329" s="1" t="n">
        <v>45217</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 artfynd.xlsx", "A 34447-2018")</f>
        <v/>
      </c>
      <c r="T329">
        <f>HYPERLINK("https://klasma.github.io/Logging_2034/kartor/A 34447-2018 karta.png", "A 34447-2018")</f>
        <v/>
      </c>
      <c r="V329">
        <f>HYPERLINK("https://klasma.github.io/Logging_2034/klagomål/A 34447-2018 FSC-klagomål.docx", "A 34447-2018")</f>
        <v/>
      </c>
      <c r="W329">
        <f>HYPERLINK("https://klasma.github.io/Logging_2034/klagomålsmail/A 34447-2018 FSC-klagomål mail.docx", "A 34447-2018")</f>
        <v/>
      </c>
      <c r="X329">
        <f>HYPERLINK("https://klasma.github.io/Logging_2034/tillsyn/A 34447-2018 tillsynsbegäran.docx", "A 34447-2018")</f>
        <v/>
      </c>
      <c r="Y329">
        <f>HYPERLINK("https://klasma.github.io/Logging_2034/tillsynsmail/A 34447-2018 tillsynsbegäran mail.docx", "A 34447-2018")</f>
        <v/>
      </c>
    </row>
    <row r="330" ht="15" customHeight="1">
      <c r="A330" t="inlineStr">
        <is>
          <t>A 47561-2018</t>
        </is>
      </c>
      <c r="B330" s="1" t="n">
        <v>43370</v>
      </c>
      <c r="C330" s="1" t="n">
        <v>45217</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 artfynd.xlsx", "A 47561-2018")</f>
        <v/>
      </c>
      <c r="T330">
        <f>HYPERLINK("https://klasma.github.io/Logging_2023/kartor/A 47561-2018 karta.png", "A 47561-2018")</f>
        <v/>
      </c>
      <c r="V330">
        <f>HYPERLINK("https://klasma.github.io/Logging_2023/klagomål/A 47561-2018 FSC-klagomål.docx", "A 47561-2018")</f>
        <v/>
      </c>
      <c r="W330">
        <f>HYPERLINK("https://klasma.github.io/Logging_2023/klagomålsmail/A 47561-2018 FSC-klagomål mail.docx", "A 47561-2018")</f>
        <v/>
      </c>
      <c r="X330">
        <f>HYPERLINK("https://klasma.github.io/Logging_2023/tillsyn/A 47561-2018 tillsynsbegäran.docx", "A 47561-2018")</f>
        <v/>
      </c>
      <c r="Y330">
        <f>HYPERLINK("https://klasma.github.io/Logging_2023/tillsynsmail/A 47561-2018 tillsynsbegäran mail.docx", "A 47561-2018")</f>
        <v/>
      </c>
    </row>
    <row r="331" ht="15" customHeight="1">
      <c r="A331" t="inlineStr">
        <is>
          <t>A 59527-2018</t>
        </is>
      </c>
      <c r="B331" s="1" t="n">
        <v>43371</v>
      </c>
      <c r="C331" s="1" t="n">
        <v>45217</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 artfynd.xlsx", "A 59527-2018")</f>
        <v/>
      </c>
      <c r="T331">
        <f>HYPERLINK("https://klasma.github.io/Logging_2062/kartor/A 59527-2018 karta.png", "A 59527-2018")</f>
        <v/>
      </c>
      <c r="V331">
        <f>HYPERLINK("https://klasma.github.io/Logging_2062/klagomål/A 59527-2018 FSC-klagomål.docx", "A 59527-2018")</f>
        <v/>
      </c>
      <c r="W331">
        <f>HYPERLINK("https://klasma.github.io/Logging_2062/klagomålsmail/A 59527-2018 FSC-klagomål mail.docx", "A 59527-2018")</f>
        <v/>
      </c>
      <c r="X331">
        <f>HYPERLINK("https://klasma.github.io/Logging_2062/tillsyn/A 59527-2018 tillsynsbegäran.docx", "A 59527-2018")</f>
        <v/>
      </c>
      <c r="Y331">
        <f>HYPERLINK("https://klasma.github.io/Logging_2062/tillsynsmail/A 59527-2018 tillsynsbegäran mail.docx", "A 59527-2018")</f>
        <v/>
      </c>
    </row>
    <row r="332" ht="15" customHeight="1">
      <c r="A332" t="inlineStr">
        <is>
          <t>A 49606-2018</t>
        </is>
      </c>
      <c r="B332" s="1" t="n">
        <v>43376</v>
      </c>
      <c r="C332" s="1" t="n">
        <v>45217</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 artfynd.xlsx", "A 49606-2018")</f>
        <v/>
      </c>
      <c r="T332">
        <f>HYPERLINK("https://klasma.github.io/Logging_2023/kartor/A 49606-2018 karta.png", "A 49606-2018")</f>
        <v/>
      </c>
      <c r="V332">
        <f>HYPERLINK("https://klasma.github.io/Logging_2023/klagomål/A 49606-2018 FSC-klagomål.docx", "A 49606-2018")</f>
        <v/>
      </c>
      <c r="W332">
        <f>HYPERLINK("https://klasma.github.io/Logging_2023/klagomålsmail/A 49606-2018 FSC-klagomål mail.docx", "A 49606-2018")</f>
        <v/>
      </c>
      <c r="X332">
        <f>HYPERLINK("https://klasma.github.io/Logging_2023/tillsyn/A 49606-2018 tillsynsbegäran.docx", "A 49606-2018")</f>
        <v/>
      </c>
      <c r="Y332">
        <f>HYPERLINK("https://klasma.github.io/Logging_2023/tillsynsmail/A 49606-2018 tillsynsbegäran mail.docx", "A 49606-2018")</f>
        <v/>
      </c>
    </row>
    <row r="333" ht="15" customHeight="1">
      <c r="A333" t="inlineStr">
        <is>
          <t>A 72666-2018</t>
        </is>
      </c>
      <c r="B333" s="1" t="n">
        <v>43389</v>
      </c>
      <c r="C333" s="1" t="n">
        <v>45217</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 artfynd.xlsx", "A 72666-2018")</f>
        <v/>
      </c>
      <c r="T333">
        <f>HYPERLINK("https://klasma.github.io/Logging_2085/kartor/A 72666-2018 karta.png", "A 72666-2018")</f>
        <v/>
      </c>
      <c r="V333">
        <f>HYPERLINK("https://klasma.github.io/Logging_2085/klagomål/A 72666-2018 FSC-klagomål.docx", "A 72666-2018")</f>
        <v/>
      </c>
      <c r="W333">
        <f>HYPERLINK("https://klasma.github.io/Logging_2085/klagomålsmail/A 72666-2018 FSC-klagomål mail.docx", "A 72666-2018")</f>
        <v/>
      </c>
      <c r="X333">
        <f>HYPERLINK("https://klasma.github.io/Logging_2085/tillsyn/A 72666-2018 tillsynsbegäran.docx", "A 72666-2018")</f>
        <v/>
      </c>
      <c r="Y333">
        <f>HYPERLINK("https://klasma.github.io/Logging_2085/tillsynsmail/A 72666-2018 tillsynsbegäran mail.docx", "A 72666-2018")</f>
        <v/>
      </c>
    </row>
    <row r="334" ht="15" customHeight="1">
      <c r="A334" t="inlineStr">
        <is>
          <t>A 58237-2018</t>
        </is>
      </c>
      <c r="B334" s="1" t="n">
        <v>43406</v>
      </c>
      <c r="C334" s="1" t="n">
        <v>45217</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 artfynd.xlsx", "A 58237-2018")</f>
        <v/>
      </c>
      <c r="T334">
        <f>HYPERLINK("https://klasma.github.io/Logging_2039/kartor/A 58237-2018 karta.png", "A 58237-2018")</f>
        <v/>
      </c>
      <c r="V334">
        <f>HYPERLINK("https://klasma.github.io/Logging_2039/klagomål/A 58237-2018 FSC-klagomål.docx", "A 58237-2018")</f>
        <v/>
      </c>
      <c r="W334">
        <f>HYPERLINK("https://klasma.github.io/Logging_2039/klagomålsmail/A 58237-2018 FSC-klagomål mail.docx", "A 58237-2018")</f>
        <v/>
      </c>
      <c r="X334">
        <f>HYPERLINK("https://klasma.github.io/Logging_2039/tillsyn/A 58237-2018 tillsynsbegäran.docx", "A 58237-2018")</f>
        <v/>
      </c>
      <c r="Y334">
        <f>HYPERLINK("https://klasma.github.io/Logging_2039/tillsynsmail/A 58237-2018 tillsynsbegäran mail.docx", "A 58237-2018")</f>
        <v/>
      </c>
    </row>
    <row r="335" ht="15" customHeight="1">
      <c r="A335" t="inlineStr">
        <is>
          <t>A 58399-2018</t>
        </is>
      </c>
      <c r="B335" s="1" t="n">
        <v>43409</v>
      </c>
      <c r="C335" s="1" t="n">
        <v>45217</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 artfynd.xlsx", "A 58399-2018")</f>
        <v/>
      </c>
      <c r="T335">
        <f>HYPERLINK("https://klasma.github.io/Logging_2081/kartor/A 58399-2018 karta.png", "A 58399-2018")</f>
        <v/>
      </c>
      <c r="V335">
        <f>HYPERLINK("https://klasma.github.io/Logging_2081/klagomål/A 58399-2018 FSC-klagomål.docx", "A 58399-2018")</f>
        <v/>
      </c>
      <c r="W335">
        <f>HYPERLINK("https://klasma.github.io/Logging_2081/klagomålsmail/A 58399-2018 FSC-klagomål mail.docx", "A 58399-2018")</f>
        <v/>
      </c>
      <c r="X335">
        <f>HYPERLINK("https://klasma.github.io/Logging_2081/tillsyn/A 58399-2018 tillsynsbegäran.docx", "A 58399-2018")</f>
        <v/>
      </c>
      <c r="Y335">
        <f>HYPERLINK("https://klasma.github.io/Logging_2081/tillsynsmail/A 58399-2018 tillsynsbegäran mail.docx", "A 58399-2018")</f>
        <v/>
      </c>
    </row>
    <row r="336" ht="15" customHeight="1">
      <c r="A336" t="inlineStr">
        <is>
          <t>A 66079-2018</t>
        </is>
      </c>
      <c r="B336" s="1" t="n">
        <v>43434</v>
      </c>
      <c r="C336" s="1" t="n">
        <v>45217</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 artfynd.xlsx", "A 66079-2018")</f>
        <v/>
      </c>
      <c r="T336">
        <f>HYPERLINK("https://klasma.github.io/Logging_2081/kartor/A 66079-2018 karta.png", "A 66079-2018")</f>
        <v/>
      </c>
      <c r="V336">
        <f>HYPERLINK("https://klasma.github.io/Logging_2081/klagomål/A 66079-2018 FSC-klagomål.docx", "A 66079-2018")</f>
        <v/>
      </c>
      <c r="W336">
        <f>HYPERLINK("https://klasma.github.io/Logging_2081/klagomålsmail/A 66079-2018 FSC-klagomål mail.docx", "A 66079-2018")</f>
        <v/>
      </c>
      <c r="X336">
        <f>HYPERLINK("https://klasma.github.io/Logging_2081/tillsyn/A 66079-2018 tillsynsbegäran.docx", "A 66079-2018")</f>
        <v/>
      </c>
      <c r="Y336">
        <f>HYPERLINK("https://klasma.github.io/Logging_2081/tillsynsmail/A 66079-2018 tillsynsbegäran mail.docx", "A 66079-2018")</f>
        <v/>
      </c>
    </row>
    <row r="337" ht="15" customHeight="1">
      <c r="A337" t="inlineStr">
        <is>
          <t>A 66537-2018</t>
        </is>
      </c>
      <c r="B337" s="1" t="n">
        <v>43437</v>
      </c>
      <c r="C337" s="1" t="n">
        <v>45217</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 artfynd.xlsx", "A 66537-2018")</f>
        <v/>
      </c>
      <c r="T337">
        <f>HYPERLINK("https://klasma.github.io/Logging_2039/kartor/A 66537-2018 karta.png", "A 66537-2018")</f>
        <v/>
      </c>
      <c r="V337">
        <f>HYPERLINK("https://klasma.github.io/Logging_2039/klagomål/A 66537-2018 FSC-klagomål.docx", "A 66537-2018")</f>
        <v/>
      </c>
      <c r="W337">
        <f>HYPERLINK("https://klasma.github.io/Logging_2039/klagomålsmail/A 66537-2018 FSC-klagomål mail.docx", "A 66537-2018")</f>
        <v/>
      </c>
      <c r="X337">
        <f>HYPERLINK("https://klasma.github.io/Logging_2039/tillsyn/A 66537-2018 tillsynsbegäran.docx", "A 66537-2018")</f>
        <v/>
      </c>
      <c r="Y337">
        <f>HYPERLINK("https://klasma.github.io/Logging_2039/tillsynsmail/A 66537-2018 tillsynsbegäran mail.docx", "A 66537-2018")</f>
        <v/>
      </c>
    </row>
    <row r="338" ht="15" customHeight="1">
      <c r="A338" t="inlineStr">
        <is>
          <t>A 67943-2018</t>
        </is>
      </c>
      <c r="B338" s="1" t="n">
        <v>43440</v>
      </c>
      <c r="C338" s="1" t="n">
        <v>45217</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 artfynd.xlsx", "A 67943-2018")</f>
        <v/>
      </c>
      <c r="T338">
        <f>HYPERLINK("https://klasma.github.io/Logging_2031/kartor/A 67943-2018 karta.png", "A 67943-2018")</f>
        <v/>
      </c>
      <c r="V338">
        <f>HYPERLINK("https://klasma.github.io/Logging_2031/klagomål/A 67943-2018 FSC-klagomål.docx", "A 67943-2018")</f>
        <v/>
      </c>
      <c r="W338">
        <f>HYPERLINK("https://klasma.github.io/Logging_2031/klagomålsmail/A 67943-2018 FSC-klagomål mail.docx", "A 67943-2018")</f>
        <v/>
      </c>
      <c r="X338">
        <f>HYPERLINK("https://klasma.github.io/Logging_2031/tillsyn/A 67943-2018 tillsynsbegäran.docx", "A 67943-2018")</f>
        <v/>
      </c>
      <c r="Y338">
        <f>HYPERLINK("https://klasma.github.io/Logging_2031/tillsynsmail/A 67943-2018 tillsynsbegäran mail.docx", "A 67943-2018")</f>
        <v/>
      </c>
    </row>
    <row r="339" ht="15" customHeight="1">
      <c r="A339" t="inlineStr">
        <is>
          <t>A 68272-2018</t>
        </is>
      </c>
      <c r="B339" s="1" t="n">
        <v>43441</v>
      </c>
      <c r="C339" s="1" t="n">
        <v>45217</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 artfynd.xlsx", "A 68272-2018")</f>
        <v/>
      </c>
      <c r="T339">
        <f>HYPERLINK("https://klasma.github.io/Logging_2081/kartor/A 68272-2018 karta.png", "A 68272-2018")</f>
        <v/>
      </c>
      <c r="V339">
        <f>HYPERLINK("https://klasma.github.io/Logging_2081/klagomål/A 68272-2018 FSC-klagomål.docx", "A 68272-2018")</f>
        <v/>
      </c>
      <c r="W339">
        <f>HYPERLINK("https://klasma.github.io/Logging_2081/klagomålsmail/A 68272-2018 FSC-klagomål mail.docx", "A 68272-2018")</f>
        <v/>
      </c>
      <c r="X339">
        <f>HYPERLINK("https://klasma.github.io/Logging_2081/tillsyn/A 68272-2018 tillsynsbegäran.docx", "A 68272-2018")</f>
        <v/>
      </c>
      <c r="Y339">
        <f>HYPERLINK("https://klasma.github.io/Logging_2081/tillsynsmail/A 68272-2018 tillsynsbegäran mail.docx", "A 68272-2018")</f>
        <v/>
      </c>
    </row>
    <row r="340" ht="15" customHeight="1">
      <c r="A340" t="inlineStr">
        <is>
          <t>A 69074-2018</t>
        </is>
      </c>
      <c r="B340" s="1" t="n">
        <v>43445</v>
      </c>
      <c r="C340" s="1" t="n">
        <v>45217</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45217</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45217</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45217</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45217</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45217</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45217</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45217</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45217</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45217</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45217</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45217</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45217</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45217</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45217</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45217</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45217</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45217</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45217</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45217</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45217</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45217</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45217</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45217</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45217</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45217</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45217</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45217</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45217</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45217</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45217</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45217</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45217</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45217</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45217</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45217</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45217</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45217</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45217</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45217</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45217</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45217</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45217</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45217</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45217</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45217</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45217</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45217</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45217</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45217</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45217</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45217</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45217</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45217</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45217</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45217</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45217</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45217</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45217</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45217</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45217</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45217</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45217</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45217</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45217</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45217</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45217</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45217</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45217</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45217</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45217</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45217</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45217</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45217</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45217</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45217</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45217</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45217</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45217</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45217</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45217</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45217</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45217</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45217</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45217</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45217</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45217</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45217</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45217</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45217</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45217</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45217</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45217</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45217</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45217</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45217</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45217</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45217</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45217</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45217</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45217</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45217</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45217</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45217</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45217</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45217</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45217</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45217</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45217</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45217</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45217</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45217</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45217</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45217</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45217</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45217</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45217</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45217</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45217</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45217</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45217</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45217</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45217</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45217</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45217</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45217</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45217</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45217</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45217</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45217</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45217</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45217</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45217</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45217</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45217</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45217</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45217</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45217</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45217</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45217</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45217</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45217</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45217</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45217</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45217</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45217</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45217</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45217</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45217</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45217</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45217</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45217</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45217</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45217</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45217</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45217</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45217</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45217</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45217</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45217</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45217</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45217</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45217</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45217</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45217</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45217</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45217</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45217</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45217</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45217</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45217</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45217</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45217</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45217</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45217</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45217</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45217</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45217</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45217</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45217</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45217</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45217</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45217</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45217</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45217</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45217</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45217</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45217</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45217</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45217</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45217</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45217</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45217</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45217</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45217</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45217</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45217</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45217</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45217</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45217</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45217</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45217</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45217</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45217</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45217</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45217</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45217</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45217</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45217</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45217</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45217</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45217</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45217</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45217</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45217</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45217</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45217</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45217</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45217</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45217</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45217</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45217</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45217</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45217</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45217</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45217</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45217</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45217</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45217</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45217</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45217</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45217</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45217</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45217</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45217</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45217</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45217</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45217</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45217</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45217</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45217</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45217</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45217</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45217</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45217</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45217</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45217</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45217</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45217</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45217</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45217</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45217</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45217</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45217</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45217</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45217</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45217</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45217</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45217</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45217</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45217</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45217</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45217</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45217</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45217</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45217</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45217</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45217</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45217</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45217</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45217</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45217</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45217</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45217</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45217</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45217</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45217</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45217</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45217</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45217</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45217</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45217</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45217</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45217</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45217</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45217</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45217</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45217</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45217</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45217</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45217</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45217</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45217</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45217</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45217</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45217</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45217</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45217</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45217</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45217</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45217</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45217</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45217</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45217</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45217</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45217</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45217</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45217</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45217</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45217</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45217</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45217</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45217</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45217</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45217</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45217</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45217</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45217</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45217</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45217</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45217</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45217</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45217</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45217</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45217</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45217</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45217</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45217</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45217</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45217</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45217</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45217</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45217</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45217</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45217</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45217</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45217</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45217</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45217</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45217</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45217</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45217</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45217</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45217</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45217</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45217</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45217</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45217</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45217</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45217</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45217</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45217</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45217</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45217</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45217</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45217</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45217</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45217</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45217</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45217</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45217</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45217</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45217</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45217</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45217</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45217</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45217</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45217</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45217</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45217</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45217</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45217</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45217</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45217</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45217</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45217</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45217</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45217</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45217</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45217</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45217</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45217</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45217</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45217</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45217</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45217</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45217</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45217</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45217</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45217</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45217</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45217</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45217</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45217</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45217</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45217</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45217</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45217</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45217</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45217</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45217</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45217</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45217</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45217</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45217</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45217</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45217</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45217</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45217</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45217</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45217</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45217</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45217</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45217</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45217</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45217</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45217</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45217</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45217</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45217</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45217</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45217</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45217</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45217</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45217</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45217</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45217</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45217</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45217</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45217</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45217</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45217</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45217</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45217</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45217</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45217</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45217</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45217</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45217</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45217</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45217</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45217</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45217</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45217</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45217</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45217</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45217</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45217</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45217</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45217</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45217</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45217</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45217</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45217</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45217</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45217</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45217</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45217</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45217</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45217</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45217</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45217</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45217</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45217</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45217</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45217</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45217</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45217</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45217</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45217</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45217</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45217</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45217</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45217</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45217</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45217</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45217</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45217</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45217</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45217</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45217</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45217</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45217</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45217</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45217</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45217</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45217</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45217</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45217</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45217</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45217</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45217</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45217</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45217</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45217</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45217</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45217</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45217</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45217</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45217</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45217</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45217</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45217</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45217</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45217</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45217</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45217</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45217</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45217</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45217</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45217</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45217</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45217</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45217</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45217</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45217</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45217</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45217</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45217</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45217</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45217</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45217</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45217</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45217</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45217</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45217</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45217</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45217</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45217</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45217</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45217</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45217</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45217</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45217</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45217</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45217</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45217</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45217</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45217</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45217</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45217</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45217</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45217</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45217</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45217</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45217</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45217</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45217</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45217</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45217</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45217</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45217</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45217</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45217</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45217</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45217</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45217</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45217</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45217</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45217</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45217</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45217</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45217</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45217</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45217</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45217</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45217</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45217</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45217</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45217</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45217</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45217</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45217</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45217</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45217</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45217</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45217</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45217</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45217</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45217</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45217</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45217</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45217</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45217</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45217</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45217</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45217</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45217</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45217</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45217</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45217</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45217</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45217</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45217</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45217</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45217</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45217</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45217</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45217</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45217</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45217</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45217</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45217</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45217</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45217</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45217</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45217</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45217</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45217</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45217</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45217</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45217</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45217</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45217</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45217</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45217</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45217</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45217</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45217</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45217</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45217</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45217</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45217</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45217</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45217</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45217</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45217</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45217</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45217</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45217</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45217</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45217</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45217</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45217</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45217</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45217</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45217</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45217</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45217</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45217</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45217</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45217</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45217</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45217</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45217</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45217</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45217</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45217</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45217</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45217</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45217</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45217</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45217</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45217</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45217</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45217</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45217</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45217</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45217</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45217</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45217</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45217</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45217</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45217</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45217</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45217</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45217</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45217</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45217</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45217</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45217</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45217</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45217</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45217</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45217</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45217</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45217</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45217</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45217</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45217</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45217</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45217</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45217</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45217</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45217</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45217</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45217</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45217</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45217</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45217</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45217</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45217</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45217</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45217</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45217</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45217</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45217</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45217</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45217</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45217</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45217</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45217</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45217</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45217</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45217</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45217</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45217</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45217</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45217</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45217</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45217</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45217</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45217</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45217</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45217</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45217</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45217</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45217</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45217</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45217</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45217</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45217</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45217</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45217</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45217</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45217</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45217</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45217</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45217</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45217</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45217</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45217</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45217</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45217</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45217</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45217</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45217</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45217</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45217</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45217</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45217</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45217</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45217</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45217</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45217</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45217</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45217</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45217</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45217</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45217</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45217</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45217</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45217</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45217</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45217</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45217</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45217</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45217</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45217</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45217</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45217</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45217</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45217</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45217</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45217</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45217</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45217</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45217</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45217</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45217</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45217</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45217</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45217</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45217</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45217</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45217</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45217</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45217</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45217</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45217</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45217</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45217</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45217</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45217</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45217</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45217</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45217</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45217</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45217</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45217</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45217</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45217</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45217</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45217</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45217</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45217</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45217</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45217</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45217</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45217</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45217</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45217</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45217</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45217</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45217</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45217</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45217</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45217</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45217</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45217</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45217</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45217</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45217</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45217</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45217</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45217</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45217</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45217</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45217</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45217</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45217</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45217</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45217</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45217</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45217</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45217</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45217</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45217</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45217</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45217</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45217</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45217</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45217</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45217</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45217</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45217</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45217</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45217</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45217</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45217</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45217</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45217</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45217</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45217</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45217</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45217</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45217</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45217</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45217</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45217</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45217</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45217</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45217</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45217</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45217</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45217</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45217</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45217</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45217</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45217</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45217</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45217</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45217</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45217</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45217</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45217</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45217</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45217</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45217</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45217</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45217</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45217</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45217</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45217</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45217</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45217</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45217</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45217</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45217</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45217</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45217</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45217</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45217</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45217</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45217</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45217</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45217</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45217</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45217</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45217</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45217</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45217</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45217</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45217</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45217</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45217</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45217</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45217</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45217</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45217</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45217</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45217</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45217</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45217</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45217</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45217</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45217</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45217</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45217</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45217</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45217</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45217</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45217</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45217</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45217</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45217</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45217</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45217</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45217</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45217</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45217</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45217</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45217</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45217</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45217</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45217</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45217</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45217</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45217</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45217</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45217</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45217</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45217</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45217</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45217</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45217</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45217</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45217</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45217</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45217</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45217</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45217</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45217</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45217</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45217</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45217</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45217</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45217</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45217</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45217</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45217</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45217</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45217</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45217</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45217</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45217</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45217</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45217</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45217</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45217</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45217</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45217</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45217</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45217</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45217</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45217</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45217</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45217</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45217</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45217</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45217</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45217</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45217</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45217</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45217</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45217</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45217</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45217</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45217</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45217</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45217</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45217</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45217</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45217</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45217</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45217</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45217</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45217</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45217</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45217</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45217</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45217</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45217</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45217</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45217</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45217</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45217</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45217</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45217</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45217</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45217</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45217</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45217</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45217</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45217</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45217</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45217</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45217</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45217</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45217</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45217</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45217</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45217</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45217</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45217</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45217</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45217</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45217</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45217</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45217</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45217</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45217</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45217</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45217</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45217</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45217</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45217</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45217</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45217</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45217</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45217</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45217</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45217</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45217</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45217</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45217</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45217</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45217</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45217</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45217</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45217</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45217</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45217</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45217</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45217</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45217</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45217</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45217</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45217</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45217</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45217</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45217</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45217</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45217</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45217</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45217</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45217</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45217</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45217</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45217</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45217</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45217</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45217</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45217</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45217</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45217</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45217</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45217</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45217</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45217</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45217</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45217</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45217</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45217</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45217</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45217</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45217</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45217</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45217</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45217</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45217</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45217</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45217</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45217</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45217</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45217</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45217</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45217</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45217</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45217</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45217</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45217</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45217</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45217</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45217</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45217</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45217</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45217</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45217</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45217</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45217</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45217</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45217</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45217</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45217</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45217</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45217</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45217</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45217</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45217</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45217</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45217</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45217</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45217</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45217</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45217</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45217</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45217</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45217</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45217</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45217</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45217</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45217</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45217</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45217</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45217</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45217</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45217</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45217</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45217</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45217</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45217</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45217</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45217</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45217</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45217</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45217</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45217</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45217</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45217</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45217</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45217</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45217</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45217</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45217</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45217</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45217</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45217</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45217</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45217</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45217</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45217</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45217</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45217</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45217</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45217</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45217</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45217</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45217</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45217</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45217</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45217</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45217</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45217</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45217</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45217</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45217</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45217</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45217</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45217</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45217</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45217</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45217</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45217</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45217</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45217</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45217</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45217</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45217</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45217</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45217</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45217</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45217</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45217</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45217</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45217</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45217</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45217</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45217</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45217</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45217</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45217</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45217</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45217</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45217</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45217</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45217</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45217</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45217</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45217</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45217</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45217</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45217</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45217</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45217</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45217</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45217</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45217</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45217</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45217</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45217</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45217</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45217</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45217</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45217</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45217</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45217</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45217</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45217</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45217</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45217</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45217</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45217</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45217</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45217</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45217</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45217</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45217</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45217</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45217</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45217</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45217</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45217</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45217</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45217</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45217</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45217</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45217</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45217</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45217</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45217</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45217</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45217</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45217</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45217</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45217</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45217</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45217</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45217</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45217</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45217</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45217</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45217</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45217</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45217</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45217</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45217</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45217</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45217</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45217</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45217</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45217</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45217</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45217</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45217</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45217</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45217</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45217</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45217</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45217</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45217</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45217</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45217</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45217</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45217</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45217</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45217</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45217</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45217</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45217</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45217</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45217</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45217</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45217</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45217</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45217</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45217</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45217</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45217</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45217</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45217</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45217</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45217</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45217</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45217</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45217</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45217</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45217</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45217</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45217</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45217</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45217</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45217</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45217</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45217</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45217</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45217</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45217</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45217</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45217</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45217</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45217</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45217</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45217</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45217</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45217</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45217</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45217</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45217</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45217</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45217</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45217</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45217</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45217</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45217</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45217</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45217</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45217</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45217</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45217</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45217</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45217</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45217</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45217</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45217</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45217</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45217</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45217</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45217</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45217</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45217</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45217</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45217</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45217</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45217</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45217</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45217</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45217</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45217</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45217</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45217</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45217</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45217</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45217</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45217</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45217</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45217</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45217</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45217</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45217</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45217</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45217</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45217</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45217</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45217</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45217</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45217</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45217</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45217</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45217</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45217</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45217</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45217</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45217</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45217</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45217</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45217</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45217</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45217</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45217</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45217</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45217</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45217</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45217</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45217</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45217</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45217</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45217</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45217</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45217</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45217</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45217</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45217</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45217</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45217</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45217</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45217</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45217</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45217</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45217</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45217</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45217</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45217</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45217</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45217</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45217</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45217</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45217</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45217</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45217</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45217</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45217</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45217</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45217</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45217</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45217</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45217</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45217</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45217</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45217</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45217</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45217</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45217</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45217</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45217</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45217</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45217</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45217</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45217</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45217</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45217</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45217</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45217</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45217</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45217</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45217</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45217</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45217</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45217</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45217</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45217</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45217</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45217</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45217</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45217</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45217</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45217</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45217</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45217</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45217</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45217</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45217</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45217</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45217</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45217</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45217</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45217</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45217</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45217</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45217</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45217</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45217</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45217</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45217</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45217</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45217</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45217</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45217</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45217</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45217</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45217</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45217</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45217</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45217</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45217</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45217</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45217</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45217</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45217</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45217</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45217</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45217</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45217</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45217</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45217</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45217</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45217</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45217</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45217</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45217</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45217</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45217</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45217</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45217</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45217</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45217</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45217</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45217</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45217</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45217</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45217</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45217</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45217</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45217</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45217</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45217</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45217</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45217</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45217</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45217</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45217</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45217</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45217</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45217</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45217</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45217</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45217</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45217</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45217</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45217</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45217</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45217</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45217</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45217</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45217</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45217</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45217</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45217</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45217</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45217</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45217</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45217</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45217</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45217</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45217</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45217</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45217</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45217</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45217</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45217</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45217</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45217</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45217</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45217</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45217</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45217</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45217</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45217</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45217</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45217</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45217</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45217</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45217</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45217</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45217</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45217</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45217</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45217</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45217</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45217</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45217</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45217</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45217</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45217</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45217</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45217</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45217</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45217</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45217</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45217</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45217</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45217</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45217</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45217</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45217</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45217</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45217</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45217</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45217</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45217</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45217</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45217</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45217</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45217</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45217</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45217</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45217</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45217</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45217</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45217</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45217</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45217</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45217</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45217</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45217</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45217</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45217</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45217</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45217</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45217</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45217</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45217</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45217</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45217</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45217</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45217</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45217</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45217</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45217</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45217</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45217</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45217</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45217</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45217</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45217</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45217</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45217</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45217</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45217</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45217</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45217</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45217</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45217</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45217</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45217</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45217</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45217</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45217</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45217</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45217</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45217</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45217</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45217</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45217</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45217</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45217</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45217</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45217</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45217</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45217</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45217</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45217</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45217</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45217</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45217</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45217</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45217</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45217</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45217</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45217</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45217</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45217</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45217</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45217</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45217</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45217</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45217</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45217</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45217</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45217</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45217</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45217</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45217</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45217</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45217</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45217</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45217</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45217</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45217</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45217</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45217</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45217</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45217</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45217</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45217</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45217</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45217</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45217</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45217</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45217</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45217</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45217</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45217</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45217</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45217</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45217</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45217</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45217</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45217</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45217</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45217</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45217</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45217</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45217</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45217</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45217</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45217</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45217</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45217</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45217</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45217</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45217</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45217</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45217</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45217</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45217</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45217</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45217</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45217</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45217</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45217</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45217</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45217</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45217</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45217</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45217</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45217</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45217</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45217</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45217</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45217</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45217</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45217</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45217</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45217</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45217</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45217</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45217</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45217</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45217</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45217</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45217</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45217</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45217</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45217</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45217</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45217</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45217</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45217</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45217</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45217</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45217</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45217</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45217</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45217</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45217</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45217</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45217</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45217</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45217</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45217</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45217</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45217</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45217</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45217</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45217</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45217</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45217</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45217</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45217</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45217</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45217</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45217</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45217</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45217</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45217</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45217</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45217</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45217</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45217</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45217</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45217</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45217</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45217</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45217</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45217</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45217</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45217</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45217</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45217</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45217</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45217</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45217</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45217</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45217</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45217</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45217</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45217</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45217</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45217</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45217</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45217</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45217</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45217</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45217</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45217</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45217</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45217</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45217</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45217</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45217</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45217</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45217</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45217</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45217</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45217</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45217</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45217</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45217</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45217</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45217</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45217</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45217</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45217</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45217</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45217</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45217</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45217</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45217</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45217</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45217</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45217</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45217</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45217</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45217</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45217</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45217</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45217</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45217</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45217</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45217</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45217</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45217</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45217</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45217</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45217</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45217</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45217</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45217</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45217</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45217</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45217</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45217</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45217</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45217</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45217</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45217</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45217</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45217</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45217</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45217</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45217</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45217</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45217</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45217</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45217</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45217</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45217</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45217</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45217</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45217</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45217</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45217</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45217</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45217</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45217</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45217</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45217</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45217</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45217</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45217</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45217</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45217</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45217</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45217</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45217</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45217</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45217</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45217</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45217</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45217</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45217</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45217</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45217</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45217</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45217</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45217</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45217</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45217</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45217</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45217</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45217</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45217</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45217</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45217</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45217</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45217</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45217</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45217</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45217</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45217</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45217</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45217</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45217</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45217</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45217</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45217</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45217</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45217</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45217</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45217</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45217</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45217</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45217</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45217</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45217</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45217</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45217</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45217</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45217</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45217</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45217</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45217</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45217</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45217</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45217</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45217</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45217</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45217</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45217</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45217</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45217</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45217</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45217</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45217</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45217</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45217</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45217</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45217</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45217</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45217</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45217</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45217</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45217</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45217</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45217</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45217</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45217</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45217</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45217</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45217</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45217</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45217</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45217</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45217</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45217</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45217</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45217</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45217</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45217</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45217</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45217</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45217</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45217</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45217</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45217</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45217</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45217</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45217</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45217</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45217</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45217</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45217</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45217</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45217</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45217</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45217</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45217</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45217</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45217</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45217</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45217</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45217</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45217</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45217</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45217</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45217</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45217</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45217</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45217</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45217</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45217</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45217</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45217</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45217</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45217</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45217</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45217</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45217</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45217</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45217</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45217</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45217</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45217</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45217</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45217</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45217</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45217</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45217</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45217</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45217</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45217</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45217</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45217</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45217</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45217</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45217</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45217</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45217</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45217</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45217</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45217</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45217</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45217</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45217</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45217</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45217</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45217</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45217</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45217</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45217</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45217</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45217</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45217</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45217</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45217</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45217</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45217</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45217</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45217</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45217</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45217</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45217</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45217</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45217</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45217</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45217</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45217</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45217</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45217</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45217</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45217</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45217</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45217</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45217</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45217</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45217</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45217</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45217</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45217</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45217</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45217</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45217</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45217</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45217</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45217</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45217</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45217</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45217</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45217</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45217</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45217</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45217</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45217</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45217</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45217</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45217</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45217</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45217</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45217</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45217</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45217</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45217</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45217</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45217</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45217</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45217</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45217</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45217</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45217</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45217</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45217</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45217</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45217</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45217</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45217</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45217</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45217</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45217</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45217</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45217</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45217</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45217</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45217</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45217</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45217</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45217</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45217</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45217</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45217</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45217</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45217</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45217</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45217</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45217</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45217</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45217</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45217</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45217</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45217</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45217</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45217</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45217</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45217</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45217</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45217</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45217</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45217</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45217</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45217</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45217</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45217</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45217</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45217</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45217</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45217</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45217</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45217</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45217</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45217</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45217</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45217</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45217</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45217</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45217</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45217</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45217</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45217</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45217</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45217</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45217</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45217</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45217</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45217</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45217</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45217</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45217</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45217</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45217</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45217</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45217</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45217</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45217</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45217</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45217</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45217</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45217</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45217</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45217</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45217</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45217</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45217</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45217</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45217</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45217</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45217</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45217</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45217</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45217</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45217</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45217</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45217</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45217</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45217</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45217</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45217</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45217</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45217</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45217</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45217</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45217</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45217</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45217</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45217</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45217</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45217</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45217</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45217</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45217</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45217</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45217</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45217</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45217</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45217</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45217</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45217</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45217</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45217</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45217</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45217</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45217</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45217</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45217</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45217</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45217</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45217</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45217</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45217</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45217</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45217</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45217</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45217</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45217</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45217</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45217</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45217</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45217</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45217</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45217</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45217</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45217</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45217</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45217</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45217</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45217</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45217</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45217</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45217</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45217</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45217</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45217</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45217</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45217</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45217</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45217</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45217</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45217</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45217</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45217</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45217</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45217</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45217</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45217</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45217</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45217</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45217</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45217</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45217</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45217</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45217</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45217</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45217</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45217</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45217</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45217</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45217</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45217</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45217</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45217</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45217</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45217</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45217</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45217</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45217</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45217</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45217</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45217</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45217</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45217</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45217</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45217</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45217</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45217</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45217</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45217</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45217</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45217</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45217</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45217</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45217</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45217</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45217</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45217</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45217</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45217</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45217</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45217</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45217</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45217</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45217</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45217</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45217</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45217</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45217</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45217</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45217</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45217</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45217</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45217</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45217</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45217</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45217</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45217</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45217</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45217</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45217</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45217</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45217</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45217</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45217</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45217</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45217</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45217</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45217</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45217</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45217</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45217</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45217</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45217</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45217</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45217</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45217</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45217</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45217</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45217</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45217</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45217</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45217</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45217</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45217</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45217</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45217</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45217</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45217</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45217</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45217</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45217</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45217</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45217</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45217</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45217</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45217</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45217</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45217</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45217</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45217</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45217</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45217</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45217</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45217</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45217</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45217</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45217</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45217</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45217</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45217</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45217</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45217</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45217</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45217</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45217</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45217</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45217</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45217</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45217</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45217</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45217</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45217</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45217</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45217</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45217</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45217</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45217</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45217</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45217</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45217</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45217</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45217</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45217</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45217</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45217</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45217</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45217</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45217</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45217</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45217</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45217</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45217</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45217</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45217</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45217</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45217</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45217</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45217</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45217</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45217</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45217</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45217</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45217</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45217</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45217</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45217</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45217</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45217</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45217</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45217</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45217</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45217</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45217</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45217</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45217</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45217</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45217</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45217</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45217</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45217</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45217</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45217</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45217</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45217</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45217</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45217</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45217</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45217</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45217</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45217</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45217</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45217</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45217</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45217</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45217</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45217</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45217</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45217</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45217</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45217</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45217</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45217</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45217</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45217</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45217</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45217</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45217</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45217</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45217</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45217</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45217</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45217</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45217</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45217</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45217</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45217</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45217</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45217</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45217</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45217</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45217</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45217</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45217</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45217</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45217</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45217</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45217</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45217</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45217</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45217</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45217</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45217</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45217</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45217</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45217</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45217</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45217</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45217</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45217</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45217</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45217</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45217</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45217</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45217</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45217</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45217</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45217</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45217</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45217</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45217</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45217</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45217</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45217</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45217</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45217</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45217</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45217</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45217</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45217</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45217</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45217</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45217</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45217</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45217</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45217</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45217</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45217</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45217</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45217</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45217</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45217</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45217</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45217</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45217</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45217</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45217</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45217</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45217</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45217</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45217</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45217</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45217</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45217</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45217</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45217</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45217</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45217</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45217</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45217</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45217</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45217</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45217</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45217</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45217</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45217</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45217</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45217</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45217</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45217</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45217</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45217</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45217</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45217</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45217</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45217</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45217</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45217</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45217</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45217</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45217</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45217</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45217</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45217</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45217</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45217</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45217</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45217</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45217</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45217</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45217</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45217</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45217</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45217</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45217</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45217</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45217</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45217</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45217</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45217</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45217</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45217</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45217</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45217</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45217</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45217</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45217</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45217</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45217</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45217</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45217</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45217</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45217</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45217</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45217</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45217</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45217</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45217</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45217</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45217</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45217</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45217</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45217</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45217</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45217</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45217</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45217</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45217</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45217</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45217</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45217</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45217</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45217</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45217</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45217</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45217</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45217</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45217</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45217</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45217</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45217</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45217</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45217</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45217</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45217</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45217</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45217</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45217</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45217</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45217</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45217</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45217</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45217</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45217</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45217</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45217</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45217</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45217</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45217</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45217</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45217</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45217</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45217</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45217</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45217</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45217</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45217</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45217</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45217</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45217</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45217</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45217</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45217</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45217</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45217</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45217</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45217</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45217</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45217</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45217</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45217</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45217</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45217</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45217</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45217</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45217</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45217</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45217</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45217</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45217</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45217</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45217</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45217</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45217</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45217</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45217</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45217</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45217</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45217</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45217</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45217</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45217</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45217</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45217</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45217</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45217</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45217</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45217</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45217</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45217</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45217</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45217</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45217</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45217</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45217</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45217</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45217</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45217</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45217</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45217</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45217</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45217</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45217</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45217</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45217</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45217</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45217</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45217</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45217</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45217</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45217</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45217</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45217</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45217</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45217</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45217</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45217</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45217</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45217</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45217</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45217</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45217</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45217</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45217</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45217</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45217</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45217</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45217</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45217</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45217</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45217</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45217</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45217</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45217</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45217</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45217</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45217</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45217</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45217</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45217</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45217</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45217</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45217</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45217</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45217</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45217</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45217</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45217</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45217</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45217</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45217</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45217</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45217</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45217</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45217</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45217</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45217</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45217</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45217</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45217</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45217</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45217</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45217</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45217</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45217</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45217</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45217</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45217</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45217</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45217</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45217</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45217</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45217</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45217</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45217</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45217</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45217</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45217</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45217</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45217</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45217</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45217</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45217</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45217</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45217</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45217</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45217</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45217</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45217</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45217</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45217</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45217</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45217</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45217</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45217</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45217</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45217</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45217</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45217</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45217</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45217</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45217</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45217</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45217</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45217</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45217</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45217</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45217</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45217</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45217</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45217</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45217</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45217</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45217</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45217</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45217</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45217</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45217</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45217</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45217</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45217</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45217</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45217</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45217</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45217</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45217</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45217</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45217</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45217</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45217</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45217</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45217</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45217</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45217</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45217</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45217</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45217</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45217</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45217</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45217</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45217</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45217</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45217</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45217</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45217</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45217</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45217</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45217</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45217</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45217</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45217</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45217</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45217</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45217</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45217</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45217</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45217</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45217</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45217</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45217</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45217</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45217</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45217</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45217</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45217</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45217</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45217</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45217</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45217</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45217</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45217</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45217</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45217</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45217</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45217</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45217</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45217</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45217</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45217</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45217</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45217</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45217</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45217</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45217</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45217</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45217</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45217</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45217</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45217</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45217</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45217</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45217</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45217</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45217</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45217</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45217</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45217</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45217</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45217</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45217</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45217</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45217</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45217</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45217</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45217</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45217</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45217</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45217</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45217</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45217</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45217</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45217</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45217</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45217</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45217</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45217</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45217</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45217</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45217</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45217</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45217</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45217</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45217</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45217</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45217</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45217</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45217</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45217</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45217</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45217</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45217</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45217</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45217</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45217</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45217</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45217</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45217</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45217</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45217</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45217</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45217</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45217</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45217</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45217</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45217</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45217</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45217</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45217</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45217</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45217</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45217</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45217</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45217</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45217</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45217</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45217</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45217</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45217</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45217</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45217</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45217</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45217</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45217</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45217</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45217</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45217</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45217</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45217</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45217</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45217</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45217</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45217</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45217</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45217</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45217</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45217</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45217</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45217</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45217</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45217</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45217</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45217</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45217</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45217</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45217</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45217</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45217</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45217</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45217</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45217</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45217</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45217</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45217</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45217</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45217</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45217</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45217</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45217</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45217</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45217</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45217</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45217</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45217</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45217</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45217</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45217</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45217</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45217</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45217</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45217</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45217</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45217</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45217</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45217</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45217</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45217</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45217</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45217</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45217</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45217</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45217</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45217</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45217</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45217</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45217</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45217</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45217</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45217</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45217</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45217</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45217</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45217</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45217</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45217</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45217</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45217</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45217</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45217</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45217</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45217</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45217</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45217</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45217</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45217</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45217</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45217</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45217</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45217</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45217</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45217</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45217</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45217</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45217</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45217</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45217</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45217</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45217</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45217</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45217</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45217</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45217</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45217</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45217</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45217</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45217</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45217</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45217</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45217</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45217</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45217</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45217</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45217</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45217</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45217</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45217</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45217</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45217</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45217</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45217</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45217</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45217</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45217</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45217</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45217</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45217</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45217</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45217</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45217</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45217</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45217</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45217</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45217</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45217</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45217</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45217</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45217</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45217</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45217</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45217</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45217</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45217</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45217</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45217</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45217</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45217</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45217</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45217</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45217</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45217</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45217</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45217</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45217</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45217</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45217</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45217</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45217</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45217</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45217</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45217</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45217</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45217</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45217</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45217</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45217</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45217</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45217</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45217</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45217</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45217</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45217</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45217</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45217</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45217</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45217</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45217</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45217</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45217</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45217</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45217</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45217</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45217</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45217</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45217</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45217</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45217</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45217</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45217</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45217</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45217</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45217</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45217</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45217</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45217</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45217</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45217</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45217</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45217</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45217</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45217</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45217</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45217</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45217</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45217</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45217</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45217</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45217</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45217</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45217</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45217</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45217</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45217</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45217</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45217</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45217</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45217</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45217</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45217</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45217</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45217</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45217</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45217</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45217</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45217</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45217</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45217</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45217</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45217</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45217</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45217</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45217</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45217</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45217</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45217</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45217</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45217</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45217</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45217</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45217</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45217</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45217</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45217</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45217</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45217</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45217</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45217</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45217</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45217</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45217</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45217</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45217</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45217</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45217</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45217</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45217</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45217</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45217</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45217</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45217</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45217</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45217</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45217</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45217</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45217</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45217</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45217</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45217</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45217</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45217</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45217</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45217</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45217</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45217</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45217</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45217</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45217</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45217</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45217</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45217</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45217</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45217</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45217</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45217</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45217</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45217</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45217</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45217</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45217</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45217</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45217</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45217</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45217</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45217</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45217</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45217</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45217</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45217</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45217</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45217</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45217</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45217</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45217</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45217</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45217</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45217</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45217</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45217</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45217</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45217</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45217</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45217</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45217</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45217</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45217</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45217</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45217</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45217</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45217</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45217</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45217</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45217</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45217</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45217</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45217</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45217</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45217</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45217</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45217</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45217</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45217</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45217</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45217</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45217</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45217</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45217</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45217</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45217</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45217</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45217</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45217</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45217</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45217</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45217</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45217</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45217</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45217</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45217</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45217</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45217</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45217</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45217</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45217</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45217</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45217</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45217</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45217</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45217</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45217</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45217</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45217</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45217</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45217</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45217</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45217</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45217</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45217</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45217</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45217</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45217</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45217</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45217</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45217</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45217</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45217</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45217</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45217</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45217</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45217</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45217</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45217</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45217</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45217</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45217</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45217</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45217</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45217</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45217</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45217</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45217</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45217</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45217</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45217</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45217</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45217</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45217</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45217</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45217</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45217</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45217</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45217</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45217</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45217</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45217</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45217</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45217</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45217</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45217</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45217</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45217</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45217</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45217</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45217</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45217</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45217</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45217</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45217</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45217</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45217</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45217</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45217</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45217</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45217</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45217</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45217</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45217</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45217</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45217</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45217</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45217</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45217</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45217</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45217</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45217</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45217</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45217</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45217</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45217</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45217</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45217</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45217</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45217</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45217</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45217</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45217</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45217</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45217</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45217</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45217</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45217</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45217</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45217</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45217</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45217</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45217</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45217</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45217</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45217</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45217</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45217</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45217</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45217</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45217</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45217</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45217</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45217</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45217</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45217</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45217</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45217</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45217</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45217</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45217</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45217</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45217</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45217</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45217</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45217</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45217</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45217</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45217</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45217</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45217</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45217</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45217</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45217</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45217</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45217</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45217</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45217</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45217</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45217</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45217</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45217</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45217</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45217</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45217</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45217</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45217</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45217</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45217</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45217</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45217</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45217</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45217</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45217</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45217</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45217</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45217</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45217</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45217</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45217</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45217</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45217</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45217</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45217</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45217</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45217</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45217</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45217</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45217</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45217</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45217</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45217</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45217</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45217</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45217</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45217</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45217</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45217</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45217</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45217</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45217</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45217</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45217</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45217</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45217</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45217</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45217</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45217</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45217</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45217</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45217</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45217</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45217</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45217</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45217</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45217</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45217</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45217</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45217</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45217</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45217</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45217</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45217</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45217</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45217</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45217</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45217</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45217</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45217</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45217</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45217</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45217</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45217</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45217</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45217</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45217</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45217</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45217</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45217</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45217</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45217</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45217</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45217</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45217</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45217</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45217</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45217</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45217</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45217</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45217</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45217</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45217</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45217</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45217</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45217</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45217</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45217</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45217</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45217</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45217</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45217</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45217</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45217</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45217</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45217</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45217</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45217</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45217</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45217</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45217</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45217</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45217</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45217</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45217</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45217</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45217</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45217</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45217</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45217</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45217</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45217</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45217</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45217</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45217</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45217</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45217</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45217</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45217</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45217</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45217</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45217</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45217</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45217</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45217</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45217</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45217</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45217</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45217</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45217</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45217</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45217</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45217</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45217</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45217</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45217</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45217</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45217</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45217</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45217</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45217</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45217</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45217</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45217</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45217</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45217</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45217</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45217</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45217</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45217</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45217</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45217</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45217</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45217</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45217</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45217</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45217</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45217</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45217</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45217</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45217</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45217</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45217</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45217</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45217</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45217</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45217</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45217</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45217</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45217</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45217</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45217</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45217</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45217</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45217</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45217</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45217</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45217</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45217</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45217</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45217</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45217</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45217</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45217</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45217</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45217</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45217</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45217</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45217</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45217</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45217</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45217</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45217</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45217</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45217</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45217</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45217</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45217</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45217</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45217</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45217</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45217</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45217</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45217</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45217</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45217</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45217</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45217</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45217</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45217</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45217</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45217</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45217</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45217</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45217</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45217</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45217</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45217</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45217</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45217</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45217</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45217</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45217</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45217</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45217</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45217</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45217</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45217</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45217</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45217</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45217</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45217</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45217</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45217</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45217</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45217</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45217</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45217</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45217</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45217</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45217</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45217</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45217</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45217</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45217</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45217</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45217</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45217</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45217</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45217</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45217</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45217</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45217</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45217</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45217</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45217</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45217</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45217</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45217</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45217</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45217</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45217</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45217</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45217</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45217</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45217</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45217</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45217</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45217</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45217</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45217</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45217</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45217</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45217</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45217</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45217</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45217</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45217</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45217</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45217</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45217</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45217</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45217</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45217</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45217</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45217</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45217</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45217</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45217</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45217</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45217</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45217</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45217</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45217</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45217</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45217</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45217</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45217</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45217</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45217</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45217</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45217</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45217</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45217</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45217</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45217</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45217</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45217</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45217</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45217</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45217</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45217</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45217</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45217</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45217</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45217</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45217</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45217</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45217</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45217</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45217</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45217</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45217</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45217</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45217</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45217</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45217</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45217</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45217</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45217</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45217</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45217</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45217</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45217</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45217</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45217</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45217</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45217</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45217</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45217</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45217</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45217</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45217</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45217</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45217</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45217</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45217</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45217</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45217</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45217</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45217</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45217</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45217</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45217</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45217</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45217</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45217</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45217</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45217</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45217</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45217</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45217</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45217</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45217</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45217</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45217</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45217</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45217</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45217</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45217</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45217</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45217</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45217</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45217</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45217</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45217</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45217</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45217</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45217</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45217</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45217</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45217</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45217</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45217</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45217</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45217</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45217</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45217</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45217</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45217</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45217</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45217</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45217</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45217</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45217</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45217</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45217</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45217</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45217</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45217</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45217</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45217</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45217</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45217</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45217</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45217</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45217</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45217</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45217</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45217</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45217</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45217</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45217</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45217</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45217</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45217</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45217</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45217</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45217</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45217</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45217</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45217</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45217</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45217</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45217</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45217</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45217</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45217</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45217</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45217</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45217</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45217</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45217</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45217</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45217</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45217</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45217</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45217</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45217</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45217</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45217</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45217</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45217</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45217</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45217</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45217</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45217</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45217</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45217</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45217</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45217</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45217</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45217</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45217</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45217</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45217</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45217</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45217</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45217</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45217</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45217</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45217</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45217</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45217</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45217</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45217</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45217</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45217</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45217</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45217</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45217</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45217</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45217</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45217</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45217</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45217</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45217</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45217</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45217</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45217</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45217</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45217</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45217</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45217</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45217</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45217</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45217</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45217</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45217</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45217</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45217</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45217</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45217</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45217</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45217</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45217</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45217</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45217</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45217</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45217</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45217</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45217</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45217</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45217</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45217</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45217</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45217</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45217</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45217</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45217</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45217</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45217</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45217</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45217</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45217</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45217</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45217</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45217</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45217</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45217</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45217</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45217</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45217</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45217</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45217</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45217</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45217</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45217</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45217</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45217</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45217</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45217</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45217</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45217</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45217</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45217</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45217</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45217</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45217</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45217</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45217</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45217</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45217</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45217</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45217</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45217</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45217</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45217</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45217</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45217</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45217</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45217</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45217</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45217</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45217</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45217</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45217</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45217</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45217</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45217</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45217</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45217</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45217</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45217</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45217</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45217</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45217</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45217</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45217</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45217</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45217</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45217</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45217</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45217</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45217</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45217</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45217</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45217</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45217</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45217</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45217</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45217</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45217</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45217</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45217</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45217</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45217</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45217</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45217</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45217</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45217</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45217</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45217</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45217</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45217</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45217</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45217</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45217</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45217</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45217</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45217</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45217</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45217</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45217</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45217</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45217</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45217</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45217</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45217</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45217</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45217</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45217</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45217</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45217</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45217</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45217</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45217</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45217</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45217</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45217</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45217</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45217</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45217</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45217</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45217</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45217</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45217</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45217</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45217</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45217</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45217</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45217</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45217</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45217</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45217</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45217</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45217</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45217</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45217</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45217</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45217</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45217</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45217</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45217</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45217</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45217</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45217</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45217</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45217</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45217</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45217</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45217</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45217</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45217</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45217</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45217</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45217</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45217</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45217</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45217</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45217</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45217</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45217</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45217</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45217</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45217</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45217</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45217</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45217</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45217</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45217</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45217</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45217</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45217</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45217</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45217</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45217</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45217</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45217</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45217</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45217</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45217</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45217</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45217</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45217</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45217</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45217</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45217</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45217</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45217</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45217</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45217</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45217</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45217</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45217</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45217</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45217</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45217</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45217</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45217</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45217</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45217</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45217</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45217</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45217</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45217</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45217</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45217</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45217</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45217</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45217</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45217</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45217</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45217</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45217</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45217</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45217</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45217</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45217</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45217</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45217</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45217</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45217</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45217</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45217</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45217</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45217</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45217</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45217</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45217</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45217</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45217</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45217</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45217</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45217</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45217</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45217</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45217</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45217</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45217</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45217</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45217</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45217</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45217</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45217</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45217</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45217</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45217</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45217</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45217</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45217</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45217</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45217</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45217</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45217</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45217</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45217</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45217</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45217</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45217</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45217</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45217</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45217</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45217</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45217</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45217</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45217</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45217</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45217</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45217</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45217</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45217</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45217</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45217</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45217</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45217</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45217</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45217</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45217</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45217</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45217</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45217</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45217</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45217</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45217</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45217</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45217</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45217</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45217</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45217</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45217</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45217</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45217</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45217</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45217</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45217</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45217</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45217</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45217</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45217</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45217</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45217</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45217</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45217</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45217</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45217</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45217</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45217</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45217</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45217</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45217</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45217</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45217</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45217</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45217</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45217</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45217</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45217</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45217</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45217</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45217</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45217</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45217</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45217</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45217</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45217</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45217</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45217</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45217</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45217</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45217</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45217</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45217</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45217</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45217</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45217</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45217</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45217</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45217</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45217</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45217</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45217</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45217</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45217</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45217</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45217</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45217</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45217</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45217</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45217</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45217</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45217</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45217</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45217</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45217</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45217</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45217</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45217</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45217</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45217</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45217</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45217</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45217</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45217</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45217</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45217</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45217</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45217</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45217</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45217</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45217</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45217</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45217</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45217</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45217</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45217</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45217</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45217</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45217</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45217</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45217</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45217</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45217</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45217</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45217</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45217</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45217</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45217</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45217</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45217</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45217</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45217</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45217</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45217</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45217</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45217</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45217</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45217</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45217</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45217</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45217</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45217</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45217</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45217</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45217</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45217</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45217</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45217</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45217</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45217</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45217</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45217</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45217</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45217</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45217</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45217</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45217</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45217</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45217</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45217</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45217</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45217</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45217</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45217</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45217</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45217</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45217</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45217</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45217</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45217</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45217</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45217</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45217</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45217</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45217</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45217</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45217</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45217</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45217</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45217</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45217</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45217</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45217</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45217</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45217</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45217</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45217</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45217</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45217</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45217</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45217</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45217</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45217</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45217</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45217</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45217</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45217</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45217</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45217</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45217</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45217</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45217</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45217</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45217</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45217</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45217</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45217</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45217</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45217</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45217</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45217</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45217</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45217</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45217</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45217</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45217</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45217</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45217</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45217</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45217</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45217</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45217</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45217</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45217</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45217</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45217</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45217</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45217</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45217</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45217</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45217</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45217</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45217</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45217</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45217</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45217</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45217</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45217</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45217</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45217</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45217</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45217</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45217</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45217</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45217</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45217</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45217</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45217</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45217</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45217</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45217</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45217</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45217</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45217</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45217</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45217</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45217</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45217</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45217</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45217</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45217</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45217</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45217</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45217</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45217</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45217</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45217</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45217</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45217</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45217</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45217</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45217</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45217</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45217</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45217</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45217</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45217</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45217</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45217</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45217</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45217</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45217</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45217</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45217</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45217</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45217</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45217</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45217</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45217</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45217</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45217</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45217</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45217</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45217</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45217</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45217</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45217</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45217</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45217</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45217</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45217</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45217</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45217</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45217</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45217</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45217</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45217</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45217</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45217</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45217</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45217</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45217</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45217</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45217</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45217</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45217</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45217</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45217</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45217</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45217</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45217</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45217</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45217</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45217</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45217</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45217</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45217</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45217</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45217</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45217</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45217</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45217</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45217</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45217</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45217</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45217</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45217</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45217</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45217</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45217</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45217</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45217</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45217</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45217</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45217</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45217</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45217</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45217</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45217</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45217</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45217</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45217</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45217</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45217</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45217</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45217</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45217</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45217</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45217</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45217</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45217</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45217</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45217</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45217</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45217</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45217</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45217</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45217</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45217</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45217</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45217</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45217</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45217</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45217</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45217</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45217</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45217</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45217</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45217</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45217</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45217</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45217</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45217</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45217</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45217</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45217</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45217</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45217</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45217</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45217</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45217</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45217</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45217</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45217</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45217</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45217</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45217</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45217</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45217</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45217</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45217</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45217</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45217</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45217</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45217</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45217</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45217</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45217</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45217</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45217</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45217</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45217</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45217</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45217</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45217</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45217</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45217</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45217</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45217</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45217</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45217</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45217</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45217</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45217</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45217</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45217</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45217</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45217</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45217</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45217</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45217</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45217</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45217</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45217</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45217</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45217</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45217</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45217</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45217</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45217</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45217</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45217</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45217</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45217</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45217</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45217</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45217</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45217</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45217</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45217</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45217</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45217</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45217</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45217</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45217</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45217</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45217</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45217</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45217</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45217</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45217</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45217</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45217</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45217</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45217</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45217</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45217</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45217</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45217</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45217</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45217</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45217</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45217</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45217</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45217</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45217</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45217</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45217</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45217</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45217</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45217</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45217</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45217</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45217</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45217</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45217</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45217</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45217</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45217</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45217</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45217</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45217</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45217</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45217</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45217</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45217</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45217</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45217</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45217</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45217</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45217</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45217</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45217</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45217</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45217</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45217</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45217</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45217</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45217</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45217</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45217</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45217</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45217</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45217</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45217</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45217</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45217</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45217</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45217</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45217</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45217</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45217</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45217</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45217</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45217</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45217</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45217</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45217</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45217</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45217</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45217</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45217</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45217</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45217</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45217</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45217</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45217</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45217</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45217</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45217</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45217</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45217</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45217</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45217</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45217</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45217</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45217</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45217</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45217</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45217</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45217</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45217</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45217</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45217</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45217</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45217</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45217</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45217</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45217</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45217</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45217</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45217</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45217</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45217</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45217</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45217</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45217</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45217</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45217</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45217</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45217</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45217</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45217</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45217</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45217</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45217</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45217</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45217</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45217</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45217</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45217</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45217</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45217</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45217</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45217</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45217</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45217</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45217</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45217</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45217</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45217</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45217</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45217</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45217</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45217</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45217</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45217</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45217</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45217</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45217</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45217</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45217</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45217</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45217</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45217</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45217</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45217</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45217</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45217</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45217</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45217</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45217</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45217</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45217</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45217</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45217</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45217</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45217</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45217</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45217</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45217</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45217</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45217</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45217</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45217</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45217</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45217</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45217</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45217</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45217</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45217</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45217</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45217</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45217</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45217</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45217</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45217</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45217</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45217</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45217</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45217</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45217</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45217</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45217</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45217</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45217</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45217</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45217</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45217</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45217</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45217</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45217</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45217</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45217</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45217</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45217</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45217</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45217</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45217</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45217</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45217</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45217</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45217</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45217</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45217</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45217</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45217</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45217</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45217</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45217</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45217</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45217</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45217</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45217</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45217</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45217</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45217</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45217</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45217</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45217</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45217</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45217</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45217</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45217</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45217</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45217</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45217</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45217</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45217</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45217</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45217</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45217</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45217</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45217</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45217</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45217</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45217</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45217</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45217</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45217</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45217</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45217</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45217</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45217</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45217</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45217</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45217</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45217</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45217</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45217</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45217</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45217</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45217</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45217</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45217</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45217</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45217</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45217</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45217</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45217</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45217</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45217</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45217</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45217</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45217</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45217</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45217</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45217</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45217</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45217</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45217</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45217</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45217</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45217</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45217</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45217</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45217</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45217</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45217</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45217</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45217</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45217</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45217</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45217</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45217</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45217</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45217</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45217</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45217</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45217</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45217</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45217</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45217</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45217</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45217</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45217</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45217</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45217</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45217</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45217</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45217</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45217</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45217</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45217</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45217</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45217</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45217</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45217</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45217</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45217</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45217</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45217</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45217</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45217</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45217</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45217</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45217</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45217</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45217</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45217</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45217</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45217</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45217</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45217</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45217</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45217</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45217</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45217</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45217</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45217</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45217</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45217</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45217</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45217</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45217</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45217</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45217</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45217</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45217</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45217</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45217</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45217</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45217</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45217</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45217</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45217</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45217</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45217</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45217</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45217</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45217</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45217</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45217</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45217</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45217</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45217</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45217</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45217</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45217</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45217</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45217</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45217</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45217</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45217</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45217</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45217</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45217</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45217</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45217</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45217</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45217</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45217</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45217</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45217</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45217</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45217</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45217</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45217</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45217</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45217</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45217</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45217</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45217</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45217</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45217</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45217</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45217</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45217</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45217</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45217</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45217</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45217</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45217</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45217</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45217</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45217</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45217</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45217</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45217</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45217</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45217</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45217</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45217</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45217</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45217</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45217</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45217</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45217</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45217</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45217</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45217</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45217</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45217</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45217</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45217</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45217</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45217</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45217</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45217</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45217</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45217</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45217</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45217</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45217</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45217</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45217</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45217</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45217</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45217</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45217</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45217</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45217</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45217</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45217</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45217</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45217</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45217</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45217</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45217</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45217</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45217</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45217</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45217</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45217</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45217</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45217</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45217</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45217</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45217</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45217</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45217</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45217</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45217</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45217</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45217</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45217</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45217</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45217</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45217</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45217</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45217</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45217</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45217</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45217</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45217</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45217</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45217</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45217</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45217</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45217</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45217</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45217</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45217</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45217</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45217</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45217</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45217</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45217</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45217</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45217</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45217</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45217</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45217</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45217</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45217</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45217</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45217</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45217</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45217</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45217</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45217</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45217</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45217</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45217</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45217</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45217</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45217</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45217</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45217</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45217</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45217</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45217</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45217</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45217</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45217</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45217</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45217</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45217</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45217</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45217</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45217</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45217</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45217</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45217</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45217</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45217</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45217</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45217</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45217</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45217</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45217</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45217</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45217</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45217</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45217</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45217</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45217</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45217</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45217</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45217</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45217</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45217</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45217</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45217</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45217</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45217</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45217</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45217</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45217</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45217</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45217</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45217</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45217</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45217</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45217</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45217</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45217</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45217</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45217</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45217</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45217</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45217</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45217</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45217</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45217</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45217</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45217</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45217</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45217</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45217</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45217</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45217</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45217</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45217</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45217</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45217</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45217</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45217</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45217</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45217</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45217</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45217</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45217</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45217</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45217</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45217</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45217</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45217</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45217</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45217</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45217</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45217</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45217</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45217</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45217</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45217</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45217</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45217</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45217</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45217</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45217</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45217</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45217</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45217</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45217</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45217</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45217</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45217</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45217</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45217</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45217</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45217</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45217</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45217</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45217</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45217</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45217</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45217</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45217</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45217</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45217</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45217</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45217</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45217</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45217</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45217</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45217</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45217</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45217</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45217</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45217</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45217</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45217</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45217</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45217</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45217</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45217</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45217</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45217</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45217</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45217</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45217</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45217</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45217</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45217</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45217</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45217</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45217</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45217</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45217</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45217</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45217</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45217</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45217</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45217</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45217</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45217</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45217</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45217</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45217</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45217</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45217</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45217</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45217</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45217</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45217</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45217</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45217</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45217</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45217</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45217</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45217</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45217</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45217</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45217</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45217</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45217</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45217</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45217</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45217</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45217</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45217</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45217</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45217</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45217</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45217</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45217</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45217</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45217</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45217</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45217</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45217</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45217</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45217</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45217</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45217</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45217</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45217</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45217</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45217</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45217</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45217</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45217</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45217</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45217</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45217</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45217</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45217</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45217</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45217</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45217</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45217</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45217</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45217</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45217</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45217</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45217</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45217</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45217</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45217</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45217</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45217</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45217</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45217</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45217</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45217</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45217</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45217</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45217</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45217</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45217</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45217</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45217</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45217</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45217</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45217</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45217</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45217</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45217</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45217</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45217</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45217</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45217</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45217</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45217</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45217</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45217</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45217</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45217</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45217</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45217</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45217</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45217</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45217</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45217</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45217</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45217</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45217</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45217</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45217</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45217</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45217</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45217</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45217</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45217</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45217</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45217</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45217</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45217</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45217</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45217</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45217</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45217</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45217</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45217</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45217</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45217</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45217</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45217</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45217</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45217</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45217</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45217</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45217</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45217</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45217</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45217</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45217</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45217</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45217</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45217</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45217</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45217</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45217</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45217</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45217</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45217</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45217</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45217</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45217</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45217</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45217</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45217</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45217</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45217</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45217</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45217</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45217</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45217</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45217</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45217</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45217</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45217</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45217</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45217</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45217</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45217</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45217</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45217</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45217</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45217</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45217</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45217</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45217</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45217</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45217</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45217</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45217</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45217</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45217</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45217</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45217</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45217</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45217</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45217</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45217</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45217</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45217</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45217</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45217</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45217</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45217</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45217</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45217</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45217</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45217</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45217</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45217</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45217</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45217</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45217</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45217</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45217</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45217</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45217</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45217</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45217</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45217</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45217</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45217</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45217</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45217</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45217</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45217</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45217</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45217</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45217</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45217</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45217</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45217</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45217</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45217</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45217</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45217</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45217</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45217</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45217</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45217</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45217</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45217</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45217</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45217</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45217</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45217</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45217</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45217</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45217</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45217</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45217</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45217</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45217</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45217</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45217</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45217</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45217</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45217</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45217</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45217</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45217</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45217</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45217</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45217</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45217</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45217</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45217</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45217</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45217</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45217</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45217</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45217</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45217</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45217</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45217</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45217</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45217</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45217</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45217</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45217</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45217</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45217</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45217</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45217</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45217</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45217</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45217</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45217</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45217</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45217</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45217</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45217</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45217</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45217</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45217</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45217</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45217</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45217</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45217</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45217</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45217</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45217</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45217</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45217</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45217</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45217</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45217</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45217</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45217</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45217</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45217</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45217</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45217</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45217</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45217</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45217</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45217</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45217</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45217</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45217</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45217</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45217</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45217</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45217</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45217</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45217</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45217</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45217</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45217</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45217</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45217</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45217</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45217</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45217</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45217</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45217</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45217</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45217</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45217</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45217</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45217</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45217</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45217</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45217</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45217</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45217</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45217</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45217</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45217</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45217</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45217</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45217</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45217</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45217</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45217</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45217</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45217</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45217</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45217</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45217</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45217</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45217</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45217</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45217</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45217</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45217</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45217</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45217</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45217</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45217</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45217</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45217</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45217</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45217</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45217</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45217</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45217</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45217</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45217</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45217</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45217</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45217</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45217</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45217</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45217</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45217</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45217</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45217</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45217</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45217</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45217</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45217</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45217</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45217</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45217</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45217</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45217</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45217</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45217</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45217</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45217</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45217</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45217</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45217</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45217</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45217</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45217</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45217</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45217</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45217</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45217</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45217</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45217</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45217</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45217</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45217</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45217</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45217</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45217</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45217</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45217</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45217</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45217</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45217</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45217</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45217</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45217</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45217</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45217</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45217</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45217</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45217</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45217</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45217</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45217</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45217</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45217</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45217</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45217</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45217</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45217</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45217</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45217</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45217</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45217</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45217</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45217</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45217</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45217</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45217</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c r="A6092" t="inlineStr">
        <is>
          <t>A 49723-2023</t>
        </is>
      </c>
      <c r="B6092" s="1" t="n">
        <v>45212</v>
      </c>
      <c r="C6092" s="1" t="n">
        <v>45217</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2023-10-18T04:48:07Z</dcterms:created>
  <dcterms:modified xmlns:dcterms="http://purl.org/dc/terms/" xmlns:xsi="http://www.w3.org/2001/XMLSchema-instance" xsi:type="dcterms:W3CDTF">2023-10-18T04:48:09Z</dcterms:modified>
</cp:coreProperties>
</file>