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45205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45205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29642-2022</t>
        </is>
      </c>
      <c r="B4" s="1" t="n">
        <v>44754</v>
      </c>
      <c r="C4" s="1" t="n">
        <v>45205</v>
      </c>
      <c r="D4" t="inlineStr">
        <is>
          <t>SÖDERMANLANDS LÄN</t>
        </is>
      </c>
      <c r="E4" t="inlineStr">
        <is>
          <t>ESKILSTUNA</t>
        </is>
      </c>
      <c r="F4" t="inlineStr">
        <is>
          <t>Kommuner</t>
        </is>
      </c>
      <c r="G4" t="n">
        <v>14.9</v>
      </c>
      <c r="H4" t="n">
        <v>5</v>
      </c>
      <c r="I4" t="n">
        <v>5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12</v>
      </c>
      <c r="R4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4">
        <f>HYPERLINK("https://klasma.github.io/Logging_ESKILSTUNA/artfynd/A 29642-2022.xlsx", "A 29642-2022")</f>
        <v/>
      </c>
      <c r="T4">
        <f>HYPERLINK("https://klasma.github.io/Logging_ESKILSTUNA/kartor/A 29642-2022.png", "A 29642-2022")</f>
        <v/>
      </c>
      <c r="V4">
        <f>HYPERLINK("https://klasma.github.io/Logging_ESKILSTUNA/klagomål/A 29642-2022.docx", "A 29642-2022")</f>
        <v/>
      </c>
      <c r="W4">
        <f>HYPERLINK("https://klasma.github.io/Logging_ESKILSTUNA/klagomålsmail/A 29642-2022.docx", "A 29642-2022")</f>
        <v/>
      </c>
      <c r="X4">
        <f>HYPERLINK("https://klasma.github.io/Logging_ESKILSTUNA/tillsyn/A 29642-2022.docx", "A 29642-2022")</f>
        <v/>
      </c>
      <c r="Y4">
        <f>HYPERLINK("https://klasma.github.io/Logging_ESKILSTUNA/tillsynsmail/A 29642-2022.docx", "A 29642-2022")</f>
        <v/>
      </c>
    </row>
    <row r="5" ht="15" customHeight="1">
      <c r="A5" t="inlineStr">
        <is>
          <t>A 42022-2021</t>
        </is>
      </c>
      <c r="B5" s="1" t="n">
        <v>44426</v>
      </c>
      <c r="C5" s="1" t="n">
        <v>45205</v>
      </c>
      <c r="D5" t="inlineStr">
        <is>
          <t>SÖDERMANLANDS LÄN</t>
        </is>
      </c>
      <c r="E5" t="inlineStr">
        <is>
          <t>ESKILSTUNA</t>
        </is>
      </c>
      <c r="G5" t="n">
        <v>3.9</v>
      </c>
      <c r="H5" t="n">
        <v>4</v>
      </c>
      <c r="I5" t="n">
        <v>6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Dofttaggsvamp
Talltita
Blåmossa
Dropptaggsvamp
Fjällig taggsvamp s.str.
Grönpyrola
Kalktallört
Tjockfotad fingersvamp
Fläcknycklar
Blåsippa</t>
        </is>
      </c>
      <c r="S5">
        <f>HYPERLINK("https://klasma.github.io/Logging_ESKILSTUNA/artfynd/A 42022-2021.xlsx", "A 42022-2021")</f>
        <v/>
      </c>
      <c r="T5">
        <f>HYPERLINK("https://klasma.github.io/Logging_ESKILSTUNA/kartor/A 42022-2021.png", "A 42022-2021")</f>
        <v/>
      </c>
      <c r="U5">
        <f>HYPERLINK("https://klasma.github.io/Logging_ESKILSTUNA/knärot/A 42022-2021.png", "A 42022-2021")</f>
        <v/>
      </c>
      <c r="V5">
        <f>HYPERLINK("https://klasma.github.io/Logging_ESKILSTUNA/klagomål/A 42022-2021.docx", "A 42022-2021")</f>
        <v/>
      </c>
      <c r="W5">
        <f>HYPERLINK("https://klasma.github.io/Logging_ESKILSTUNA/klagomålsmail/A 42022-2021.docx", "A 42022-2021")</f>
        <v/>
      </c>
      <c r="X5">
        <f>HYPERLINK("https://klasma.github.io/Logging_ESKILSTUNA/tillsyn/A 42022-2021.docx", "A 42022-2021")</f>
        <v/>
      </c>
      <c r="Y5">
        <f>HYPERLINK("https://klasma.github.io/Logging_ESKILSTUNA/tillsynsmail/A 42022-2021.docx", "A 42022-2021")</f>
        <v/>
      </c>
    </row>
    <row r="6" ht="15" customHeight="1">
      <c r="A6" t="inlineStr">
        <is>
          <t>A 42793-2023</t>
        </is>
      </c>
      <c r="B6" s="1" t="n">
        <v>45181</v>
      </c>
      <c r="C6" s="1" t="n">
        <v>45205</v>
      </c>
      <c r="D6" t="inlineStr">
        <is>
          <t>SÖDERMANLANDS LÄN</t>
        </is>
      </c>
      <c r="E6" t="inlineStr">
        <is>
          <t>ESKILSTUNA</t>
        </is>
      </c>
      <c r="F6" t="inlineStr">
        <is>
          <t>Allmännings- och besparingsskogar</t>
        </is>
      </c>
      <c r="G6" t="n">
        <v>14.2</v>
      </c>
      <c r="H6" t="n">
        <v>3</v>
      </c>
      <c r="I6" t="n">
        <v>5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10</v>
      </c>
      <c r="R6" s="2" t="inlineStr">
        <is>
          <t>Knärot
Motaggsvamp
Spillkråka
Tallticka
Talltita
Blomkålssvamp
Blåmossa
Dropptaggsvamp
Gullgröppa
Mindre märgborre</t>
        </is>
      </c>
      <c r="S6">
        <f>HYPERLINK("https://klasma.github.io/Logging_ESKILSTUNA/artfynd/A 42793-2023.xlsx", "A 42793-2023")</f>
        <v/>
      </c>
      <c r="T6">
        <f>HYPERLINK("https://klasma.github.io/Logging_ESKILSTUNA/kartor/A 42793-2023.png", "A 42793-2023")</f>
        <v/>
      </c>
      <c r="U6">
        <f>HYPERLINK("https://klasma.github.io/Logging_ESKILSTUNA/knärot/A 42793-2023.png", "A 42793-2023")</f>
        <v/>
      </c>
      <c r="V6">
        <f>HYPERLINK("https://klasma.github.io/Logging_ESKILSTUNA/klagomål/A 42793-2023.docx", "A 42793-2023")</f>
        <v/>
      </c>
      <c r="W6">
        <f>HYPERLINK("https://klasma.github.io/Logging_ESKILSTUNA/klagomålsmail/A 42793-2023.docx", "A 42793-2023")</f>
        <v/>
      </c>
      <c r="X6">
        <f>HYPERLINK("https://klasma.github.io/Logging_ESKILSTUNA/tillsyn/A 42793-2023.docx", "A 42793-2023")</f>
        <v/>
      </c>
      <c r="Y6">
        <f>HYPERLINK("https://klasma.github.io/Logging_ESKILSTUNA/tillsynsmail/A 42793-2023.docx", "A 42793-2023")</f>
        <v/>
      </c>
    </row>
    <row r="7" ht="15" customHeight="1">
      <c r="A7" t="inlineStr">
        <is>
          <t>A 44631-2018</t>
        </is>
      </c>
      <c r="B7" s="1" t="n">
        <v>43357</v>
      </c>
      <c r="C7" s="1" t="n">
        <v>45205</v>
      </c>
      <c r="D7" t="inlineStr">
        <is>
          <t>SÖDERMANLANDS LÄN</t>
        </is>
      </c>
      <c r="E7" t="inlineStr">
        <is>
          <t>ESKILSTUNA</t>
        </is>
      </c>
      <c r="G7" t="n">
        <v>9.1</v>
      </c>
      <c r="H7" t="n">
        <v>0</v>
      </c>
      <c r="I7" t="n">
        <v>6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8</v>
      </c>
      <c r="R7" s="2" t="inlineStr">
        <is>
          <t>Kandelabersvamp
Koralltaggsvamp
Barkticka
Fällmossa
Granbarkgnagare
Hasselticka
Jättesvampmal
Stekelbock</t>
        </is>
      </c>
      <c r="S7">
        <f>HYPERLINK("https://klasma.github.io/Logging_ESKILSTUNA/artfynd/A 44631-2018.xlsx", "A 44631-2018")</f>
        <v/>
      </c>
      <c r="T7">
        <f>HYPERLINK("https://klasma.github.io/Logging_ESKILSTUNA/kartor/A 44631-2018.png", "A 44631-2018")</f>
        <v/>
      </c>
      <c r="V7">
        <f>HYPERLINK("https://klasma.github.io/Logging_ESKILSTUNA/klagomål/A 44631-2018.docx", "A 44631-2018")</f>
        <v/>
      </c>
      <c r="W7">
        <f>HYPERLINK("https://klasma.github.io/Logging_ESKILSTUNA/klagomålsmail/A 44631-2018.docx", "A 44631-2018")</f>
        <v/>
      </c>
      <c r="X7">
        <f>HYPERLINK("https://klasma.github.io/Logging_ESKILSTUNA/tillsyn/A 44631-2018.docx", "A 44631-2018")</f>
        <v/>
      </c>
      <c r="Y7">
        <f>HYPERLINK("https://klasma.github.io/Logging_ESKILSTUNA/tillsynsmail/A 44631-2018.docx", "A 44631-2018")</f>
        <v/>
      </c>
    </row>
    <row r="8" ht="15" customHeight="1">
      <c r="A8" t="inlineStr">
        <is>
          <t>A 313-2020</t>
        </is>
      </c>
      <c r="B8" s="1" t="n">
        <v>43816</v>
      </c>
      <c r="C8" s="1" t="n">
        <v>45205</v>
      </c>
      <c r="D8" t="inlineStr">
        <is>
          <t>SÖDERMANLANDS LÄN</t>
        </is>
      </c>
      <c r="E8" t="inlineStr">
        <is>
          <t>ESKILSTUNA</t>
        </is>
      </c>
      <c r="G8" t="n">
        <v>9.699999999999999</v>
      </c>
      <c r="H8" t="n">
        <v>2</v>
      </c>
      <c r="I8" t="n">
        <v>4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8</v>
      </c>
      <c r="R8" s="2" t="inlineStr">
        <is>
          <t>Skogsalm
Ask
Springkorn
Svart trolldruva
Tibast
Vårärt
Blåsippa
Gullviva</t>
        </is>
      </c>
      <c r="S8">
        <f>HYPERLINK("https://klasma.github.io/Logging_ESKILSTUNA/artfynd/A 313-2020.xlsx", "A 313-2020")</f>
        <v/>
      </c>
      <c r="T8">
        <f>HYPERLINK("https://klasma.github.io/Logging_ESKILSTUNA/kartor/A 313-2020.png", "A 313-2020")</f>
        <v/>
      </c>
      <c r="V8">
        <f>HYPERLINK("https://klasma.github.io/Logging_ESKILSTUNA/klagomål/A 313-2020.docx", "A 313-2020")</f>
        <v/>
      </c>
      <c r="W8">
        <f>HYPERLINK("https://klasma.github.io/Logging_ESKILSTUNA/klagomålsmail/A 313-2020.docx", "A 313-2020")</f>
        <v/>
      </c>
      <c r="X8">
        <f>HYPERLINK("https://klasma.github.io/Logging_ESKILSTUNA/tillsyn/A 313-2020.docx", "A 313-2020")</f>
        <v/>
      </c>
      <c r="Y8">
        <f>HYPERLINK("https://klasma.github.io/Logging_ESKILSTUNA/tillsynsmail/A 313-2020.docx", "A 313-2020")</f>
        <v/>
      </c>
    </row>
    <row r="9" ht="15" customHeight="1">
      <c r="A9" t="inlineStr">
        <is>
          <t>A 54208-2021</t>
        </is>
      </c>
      <c r="B9" s="1" t="n">
        <v>44470</v>
      </c>
      <c r="C9" s="1" t="n">
        <v>45205</v>
      </c>
      <c r="D9" t="inlineStr">
        <is>
          <t>SÖDERMANLANDS LÄN</t>
        </is>
      </c>
      <c r="E9" t="inlineStr">
        <is>
          <t>ESKILSTUNA</t>
        </is>
      </c>
      <c r="G9" t="n">
        <v>12.9</v>
      </c>
      <c r="H9" t="n">
        <v>2</v>
      </c>
      <c r="I9" t="n">
        <v>3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7</v>
      </c>
      <c r="R9" s="2" t="inlineStr">
        <is>
          <t>Bombmurkla
Knärot
Ullticka
Vedtrappmossa
Dropptaggsvamp
Grönpyrola
Vedticka</t>
        </is>
      </c>
      <c r="S9">
        <f>HYPERLINK("https://klasma.github.io/Logging_ESKILSTUNA/artfynd/A 54208-2021.xlsx", "A 54208-2021")</f>
        <v/>
      </c>
      <c r="T9">
        <f>HYPERLINK("https://klasma.github.io/Logging_ESKILSTUNA/kartor/A 54208-2021.png", "A 54208-2021")</f>
        <v/>
      </c>
      <c r="U9">
        <f>HYPERLINK("https://klasma.github.io/Logging_ESKILSTUNA/knärot/A 54208-2021.png", "A 54208-2021")</f>
        <v/>
      </c>
      <c r="V9">
        <f>HYPERLINK("https://klasma.github.io/Logging_ESKILSTUNA/klagomål/A 54208-2021.docx", "A 54208-2021")</f>
        <v/>
      </c>
      <c r="W9">
        <f>HYPERLINK("https://klasma.github.io/Logging_ESKILSTUNA/klagomålsmail/A 54208-2021.docx", "A 54208-2021")</f>
        <v/>
      </c>
      <c r="X9">
        <f>HYPERLINK("https://klasma.github.io/Logging_ESKILSTUNA/tillsyn/A 54208-2021.docx", "A 54208-2021")</f>
        <v/>
      </c>
      <c r="Y9">
        <f>HYPERLINK("https://klasma.github.io/Logging_ESKILSTUNA/tillsynsmail/A 54208-2021.docx", "A 54208-2021")</f>
        <v/>
      </c>
    </row>
    <row r="10" ht="15" customHeight="1">
      <c r="A10" t="inlineStr">
        <is>
          <t>A 22264-2022</t>
        </is>
      </c>
      <c r="B10" s="1" t="n">
        <v>44712</v>
      </c>
      <c r="C10" s="1" t="n">
        <v>45205</v>
      </c>
      <c r="D10" t="inlineStr">
        <is>
          <t>SÖDERMANLANDS LÄN</t>
        </is>
      </c>
      <c r="E10" t="inlineStr">
        <is>
          <t>ESKILSTUNA</t>
        </is>
      </c>
      <c r="F10" t="inlineStr">
        <is>
          <t>Sveaskog</t>
        </is>
      </c>
      <c r="G10" t="n">
        <v>4.7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Motaggsvamp
Grönpyrola
Mindre märgborre
Skarp dropptaggsvamp
Lopplummer
Mattlummer
Revlummer</t>
        </is>
      </c>
      <c r="S10">
        <f>HYPERLINK("https://klasma.github.io/Logging_ESKILSTUNA/artfynd/A 22264-2022.xlsx", "A 22264-2022")</f>
        <v/>
      </c>
      <c r="T10">
        <f>HYPERLINK("https://klasma.github.io/Logging_ESKILSTUNA/kartor/A 22264-2022.png", "A 22264-2022")</f>
        <v/>
      </c>
      <c r="V10">
        <f>HYPERLINK("https://klasma.github.io/Logging_ESKILSTUNA/klagomål/A 22264-2022.docx", "A 22264-2022")</f>
        <v/>
      </c>
      <c r="W10">
        <f>HYPERLINK("https://klasma.github.io/Logging_ESKILSTUNA/klagomålsmail/A 22264-2022.docx", "A 22264-2022")</f>
        <v/>
      </c>
      <c r="X10">
        <f>HYPERLINK("https://klasma.github.io/Logging_ESKILSTUNA/tillsyn/A 22264-2022.docx", "A 22264-2022")</f>
        <v/>
      </c>
      <c r="Y10">
        <f>HYPERLINK("https://klasma.github.io/Logging_ESKILSTUNA/tillsynsmail/A 22264-2022.docx", "A 22264-2022")</f>
        <v/>
      </c>
    </row>
    <row r="11" ht="15" customHeight="1">
      <c r="A11" t="inlineStr">
        <is>
          <t>A 51652-2019</t>
        </is>
      </c>
      <c r="B11" s="1" t="n">
        <v>43740</v>
      </c>
      <c r="C11" s="1" t="n">
        <v>45205</v>
      </c>
      <c r="D11" t="inlineStr">
        <is>
          <t>SÖDERMANLANDS LÄN</t>
        </is>
      </c>
      <c r="E11" t="inlineStr">
        <is>
          <t>ESKILSTUNA</t>
        </is>
      </c>
      <c r="G11" t="n">
        <v>9.300000000000001</v>
      </c>
      <c r="H11" t="n">
        <v>6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6</v>
      </c>
      <c r="R11" s="2" t="inlineStr">
        <is>
          <t>Brunlångöra
Nordfladdermus
Dvärgpipistrell
Större brunfladdermus
Trollpipistrell
Vattenfladdermus</t>
        </is>
      </c>
      <c r="S11">
        <f>HYPERLINK("https://klasma.github.io/Logging_ESKILSTUNA/artfynd/A 51652-2019.xlsx", "A 51652-2019")</f>
        <v/>
      </c>
      <c r="T11">
        <f>HYPERLINK("https://klasma.github.io/Logging_ESKILSTUNA/kartor/A 51652-2019.png", "A 51652-2019")</f>
        <v/>
      </c>
      <c r="V11">
        <f>HYPERLINK("https://klasma.github.io/Logging_ESKILSTUNA/klagomål/A 51652-2019.docx", "A 51652-2019")</f>
        <v/>
      </c>
      <c r="W11">
        <f>HYPERLINK("https://klasma.github.io/Logging_ESKILSTUNA/klagomålsmail/A 51652-2019.docx", "A 51652-2019")</f>
        <v/>
      </c>
      <c r="X11">
        <f>HYPERLINK("https://klasma.github.io/Logging_ESKILSTUNA/tillsyn/A 51652-2019.docx", "A 51652-2019")</f>
        <v/>
      </c>
      <c r="Y11">
        <f>HYPERLINK("https://klasma.github.io/Logging_ESKILSTUNA/tillsynsmail/A 51652-2019.docx", "A 51652-2019")</f>
        <v/>
      </c>
    </row>
    <row r="12" ht="15" customHeight="1">
      <c r="A12" t="inlineStr">
        <is>
          <t>A 52556-2019</t>
        </is>
      </c>
      <c r="B12" s="1" t="n">
        <v>43745</v>
      </c>
      <c r="C12" s="1" t="n">
        <v>45205</v>
      </c>
      <c r="D12" t="inlineStr">
        <is>
          <t>SÖDERMANLANDS LÄN</t>
        </is>
      </c>
      <c r="E12" t="inlineStr">
        <is>
          <t>ESKILSTUNA</t>
        </is>
      </c>
      <c r="G12" t="n">
        <v>6.8</v>
      </c>
      <c r="H12" t="n">
        <v>4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Vippärt
Grönpyrola
Plattlummer
Vanlig snok
Blåsippa
Gullviva</t>
        </is>
      </c>
      <c r="S12">
        <f>HYPERLINK("https://klasma.github.io/Logging_ESKILSTUNA/artfynd/A 52556-2019.xlsx", "A 52556-2019")</f>
        <v/>
      </c>
      <c r="T12">
        <f>HYPERLINK("https://klasma.github.io/Logging_ESKILSTUNA/kartor/A 52556-2019.png", "A 52556-2019")</f>
        <v/>
      </c>
      <c r="V12">
        <f>HYPERLINK("https://klasma.github.io/Logging_ESKILSTUNA/klagomål/A 52556-2019.docx", "A 52556-2019")</f>
        <v/>
      </c>
      <c r="W12">
        <f>HYPERLINK("https://klasma.github.io/Logging_ESKILSTUNA/klagomålsmail/A 52556-2019.docx", "A 52556-2019")</f>
        <v/>
      </c>
      <c r="X12">
        <f>HYPERLINK("https://klasma.github.io/Logging_ESKILSTUNA/tillsyn/A 52556-2019.docx", "A 52556-2019")</f>
        <v/>
      </c>
      <c r="Y12">
        <f>HYPERLINK("https://klasma.github.io/Logging_ESKILSTUNA/tillsynsmail/A 52556-2019.docx", "A 52556-2019")</f>
        <v/>
      </c>
    </row>
    <row r="13" ht="15" customHeight="1">
      <c r="A13" t="inlineStr">
        <is>
          <t>A 71970-2021</t>
        </is>
      </c>
      <c r="B13" s="1" t="n">
        <v>44544</v>
      </c>
      <c r="C13" s="1" t="n">
        <v>45205</v>
      </c>
      <c r="D13" t="inlineStr">
        <is>
          <t>SÖDERMANLANDS LÄN</t>
        </is>
      </c>
      <c r="E13" t="inlineStr">
        <is>
          <t>ESKILSTUNA</t>
        </is>
      </c>
      <c r="G13" t="n">
        <v>18.1</v>
      </c>
      <c r="H13" t="n">
        <v>4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Spillkråka
Grönpyrola
Kalktallört
Fläcknycklar
Revlummer</t>
        </is>
      </c>
      <c r="S13">
        <f>HYPERLINK("https://klasma.github.io/Logging_ESKILSTUNA/artfynd/A 71970-2021.xlsx", "A 71970-2021")</f>
        <v/>
      </c>
      <c r="T13">
        <f>HYPERLINK("https://klasma.github.io/Logging_ESKILSTUNA/kartor/A 71970-2021.png", "A 71970-2021")</f>
        <v/>
      </c>
      <c r="U13">
        <f>HYPERLINK("https://klasma.github.io/Logging_ESKILSTUNA/knärot/A 71970-2021.png", "A 71970-2021")</f>
        <v/>
      </c>
      <c r="V13">
        <f>HYPERLINK("https://klasma.github.io/Logging_ESKILSTUNA/klagomål/A 71970-2021.docx", "A 71970-2021")</f>
        <v/>
      </c>
      <c r="W13">
        <f>HYPERLINK("https://klasma.github.io/Logging_ESKILSTUNA/klagomålsmail/A 71970-2021.docx", "A 71970-2021")</f>
        <v/>
      </c>
      <c r="X13">
        <f>HYPERLINK("https://klasma.github.io/Logging_ESKILSTUNA/tillsyn/A 71970-2021.docx", "A 71970-2021")</f>
        <v/>
      </c>
      <c r="Y13">
        <f>HYPERLINK("https://klasma.github.io/Logging_ESKILSTUNA/tillsynsmail/A 71970-2021.docx", "A 71970-2021")</f>
        <v/>
      </c>
    </row>
    <row r="14" ht="15" customHeight="1">
      <c r="A14" t="inlineStr">
        <is>
          <t>A 66282-2018</t>
        </is>
      </c>
      <c r="B14" s="1" t="n">
        <v>43427</v>
      </c>
      <c r="C14" s="1" t="n">
        <v>45205</v>
      </c>
      <c r="D14" t="inlineStr">
        <is>
          <t>SÖDERMANLANDS LÄN</t>
        </is>
      </c>
      <c r="E14" t="inlineStr">
        <is>
          <t>ESKILSTUNA</t>
        </is>
      </c>
      <c r="G14" t="n">
        <v>5.3</v>
      </c>
      <c r="H14" t="n">
        <v>1</v>
      </c>
      <c r="I14" t="n">
        <v>4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Bronshjon
Granbarkgnagare
Mindre märgborre
Vågbandad barkbock</t>
        </is>
      </c>
      <c r="S14">
        <f>HYPERLINK("https://klasma.github.io/Logging_ESKILSTUNA/artfynd/A 66282-2018.xlsx", "A 66282-2018")</f>
        <v/>
      </c>
      <c r="T14">
        <f>HYPERLINK("https://klasma.github.io/Logging_ESKILSTUNA/kartor/A 66282-2018.png", "A 66282-2018")</f>
        <v/>
      </c>
      <c r="U14">
        <f>HYPERLINK("https://klasma.github.io/Logging_ESKILSTUNA/knärot/A 66282-2018.png", "A 66282-2018")</f>
        <v/>
      </c>
      <c r="V14">
        <f>HYPERLINK("https://klasma.github.io/Logging_ESKILSTUNA/klagomål/A 66282-2018.docx", "A 66282-2018")</f>
        <v/>
      </c>
      <c r="W14">
        <f>HYPERLINK("https://klasma.github.io/Logging_ESKILSTUNA/klagomålsmail/A 66282-2018.docx", "A 66282-2018")</f>
        <v/>
      </c>
      <c r="X14">
        <f>HYPERLINK("https://klasma.github.io/Logging_ESKILSTUNA/tillsyn/A 66282-2018.docx", "A 66282-2018")</f>
        <v/>
      </c>
      <c r="Y14">
        <f>HYPERLINK("https://klasma.github.io/Logging_ESKILSTUNA/tillsynsmail/A 66282-2018.docx", "A 66282-2018")</f>
        <v/>
      </c>
    </row>
    <row r="15" ht="15" customHeight="1">
      <c r="A15" t="inlineStr">
        <is>
          <t>A 49457-2020</t>
        </is>
      </c>
      <c r="B15" s="1" t="n">
        <v>44105</v>
      </c>
      <c r="C15" s="1" t="n">
        <v>45205</v>
      </c>
      <c r="D15" t="inlineStr">
        <is>
          <t>SÖDERMANLANDS LÄN</t>
        </is>
      </c>
      <c r="E15" t="inlineStr">
        <is>
          <t>ESKILSTUNA</t>
        </is>
      </c>
      <c r="G15" t="n">
        <v>11.6</v>
      </c>
      <c r="H15" t="n">
        <v>1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Leptoporus erubescens
Spillkråka
Tallticka
Blodticka
Mindre märgborre</t>
        </is>
      </c>
      <c r="S15">
        <f>HYPERLINK("https://klasma.github.io/Logging_ESKILSTUNA/artfynd/A 49457-2020.xlsx", "A 49457-2020")</f>
        <v/>
      </c>
      <c r="T15">
        <f>HYPERLINK("https://klasma.github.io/Logging_ESKILSTUNA/kartor/A 49457-2020.png", "A 49457-2020")</f>
        <v/>
      </c>
      <c r="V15">
        <f>HYPERLINK("https://klasma.github.io/Logging_ESKILSTUNA/klagomål/A 49457-2020.docx", "A 49457-2020")</f>
        <v/>
      </c>
      <c r="W15">
        <f>HYPERLINK("https://klasma.github.io/Logging_ESKILSTUNA/klagomålsmail/A 49457-2020.docx", "A 49457-2020")</f>
        <v/>
      </c>
      <c r="X15">
        <f>HYPERLINK("https://klasma.github.io/Logging_ESKILSTUNA/tillsyn/A 49457-2020.docx", "A 49457-2020")</f>
        <v/>
      </c>
      <c r="Y15">
        <f>HYPERLINK("https://klasma.github.io/Logging_ESKILSTUNA/tillsynsmail/A 49457-2020.docx", "A 49457-2020")</f>
        <v/>
      </c>
    </row>
    <row r="16" ht="15" customHeight="1">
      <c r="A16" t="inlineStr">
        <is>
          <t>A 37981-2022</t>
        </is>
      </c>
      <c r="B16" s="1" t="n">
        <v>44811</v>
      </c>
      <c r="C16" s="1" t="n">
        <v>45205</v>
      </c>
      <c r="D16" t="inlineStr">
        <is>
          <t>SÖDERMANLANDS LÄN</t>
        </is>
      </c>
      <c r="E16" t="inlineStr">
        <is>
          <t>ESKILSTUNA</t>
        </is>
      </c>
      <c r="G16" t="n">
        <v>3.7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Vippärt
Ängsskära
Vårärt
Blåsippa
Gullviva</t>
        </is>
      </c>
      <c r="S16">
        <f>HYPERLINK("https://klasma.github.io/Logging_ESKILSTUNA/artfynd/A 37981-2022.xlsx", "A 37981-2022")</f>
        <v/>
      </c>
      <c r="T16">
        <f>HYPERLINK("https://klasma.github.io/Logging_ESKILSTUNA/kartor/A 37981-2022.png", "A 37981-2022")</f>
        <v/>
      </c>
      <c r="V16">
        <f>HYPERLINK("https://klasma.github.io/Logging_ESKILSTUNA/klagomål/A 37981-2022.docx", "A 37981-2022")</f>
        <v/>
      </c>
      <c r="W16">
        <f>HYPERLINK("https://klasma.github.io/Logging_ESKILSTUNA/klagomålsmail/A 37981-2022.docx", "A 37981-2022")</f>
        <v/>
      </c>
      <c r="X16">
        <f>HYPERLINK("https://klasma.github.io/Logging_ESKILSTUNA/tillsyn/A 37981-2022.docx", "A 37981-2022")</f>
        <v/>
      </c>
      <c r="Y16">
        <f>HYPERLINK("https://klasma.github.io/Logging_ESKILSTUNA/tillsynsmail/A 37981-2022.docx", "A 37981-2022")</f>
        <v/>
      </c>
    </row>
    <row r="17" ht="15" customHeight="1">
      <c r="A17" t="inlineStr">
        <is>
          <t>A 40382-2022</t>
        </is>
      </c>
      <c r="B17" s="1" t="n">
        <v>44819</v>
      </c>
      <c r="C17" s="1" t="n">
        <v>45205</v>
      </c>
      <c r="D17" t="inlineStr">
        <is>
          <t>SÖDERMANLANDS LÄN</t>
        </is>
      </c>
      <c r="E17" t="inlineStr">
        <is>
          <t>ESKILSTUNA</t>
        </is>
      </c>
      <c r="G17" t="n">
        <v>2.5</v>
      </c>
      <c r="H17" t="n">
        <v>5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Brunlångöra
Nordfladdermus
Dvärgpipistrell
Gråskimlig fladdermus
Större brunfladdermus</t>
        </is>
      </c>
      <c r="S17">
        <f>HYPERLINK("https://klasma.github.io/Logging_ESKILSTUNA/artfynd/A 40382-2022.xlsx", "A 40382-2022")</f>
        <v/>
      </c>
      <c r="T17">
        <f>HYPERLINK("https://klasma.github.io/Logging_ESKILSTUNA/kartor/A 40382-2022.png", "A 40382-2022")</f>
        <v/>
      </c>
      <c r="V17">
        <f>HYPERLINK("https://klasma.github.io/Logging_ESKILSTUNA/klagomål/A 40382-2022.docx", "A 40382-2022")</f>
        <v/>
      </c>
      <c r="W17">
        <f>HYPERLINK("https://klasma.github.io/Logging_ESKILSTUNA/klagomålsmail/A 40382-2022.docx", "A 40382-2022")</f>
        <v/>
      </c>
      <c r="X17">
        <f>HYPERLINK("https://klasma.github.io/Logging_ESKILSTUNA/tillsyn/A 40382-2022.docx", "A 40382-2022")</f>
        <v/>
      </c>
      <c r="Y17">
        <f>HYPERLINK("https://klasma.github.io/Logging_ESKILSTUNA/tillsynsmail/A 40382-2022.docx", "A 40382-2022")</f>
        <v/>
      </c>
    </row>
    <row r="18" ht="15" customHeight="1">
      <c r="A18" t="inlineStr">
        <is>
          <t>A 17144-2023</t>
        </is>
      </c>
      <c r="B18" s="1" t="n">
        <v>45034</v>
      </c>
      <c r="C18" s="1" t="n">
        <v>45205</v>
      </c>
      <c r="D18" t="inlineStr">
        <is>
          <t>SÖDERMANLANDS LÄN</t>
        </is>
      </c>
      <c r="E18" t="inlineStr">
        <is>
          <t>ESKILSTUNA</t>
        </is>
      </c>
      <c r="G18" t="n">
        <v>3.8</v>
      </c>
      <c r="H18" t="n">
        <v>2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Knärot
Grantaggsvamp
Motaggsvamp
Spillkråka
Mindre märgborre</t>
        </is>
      </c>
      <c r="S18">
        <f>HYPERLINK("https://klasma.github.io/Logging_ESKILSTUNA/artfynd/A 17144-2023.xlsx", "A 17144-2023")</f>
        <v/>
      </c>
      <c r="T18">
        <f>HYPERLINK("https://klasma.github.io/Logging_ESKILSTUNA/kartor/A 17144-2023.png", "A 17144-2023")</f>
        <v/>
      </c>
      <c r="U18">
        <f>HYPERLINK("https://klasma.github.io/Logging_ESKILSTUNA/knärot/A 17144-2023.png", "A 17144-2023")</f>
        <v/>
      </c>
      <c r="V18">
        <f>HYPERLINK("https://klasma.github.io/Logging_ESKILSTUNA/klagomål/A 17144-2023.docx", "A 17144-2023")</f>
        <v/>
      </c>
      <c r="W18">
        <f>HYPERLINK("https://klasma.github.io/Logging_ESKILSTUNA/klagomålsmail/A 17144-2023.docx", "A 17144-2023")</f>
        <v/>
      </c>
      <c r="X18">
        <f>HYPERLINK("https://klasma.github.io/Logging_ESKILSTUNA/tillsyn/A 17144-2023.docx", "A 17144-2023")</f>
        <v/>
      </c>
      <c r="Y18">
        <f>HYPERLINK("https://klasma.github.io/Logging_ESKILSTUNA/tillsynsmail/A 17144-2023.docx", "A 17144-2023")</f>
        <v/>
      </c>
    </row>
    <row r="19" ht="15" customHeight="1">
      <c r="A19" t="inlineStr">
        <is>
          <t>A 44820-2019</t>
        </is>
      </c>
      <c r="B19" s="1" t="n">
        <v>43712</v>
      </c>
      <c r="C19" s="1" t="n">
        <v>45205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16.1</v>
      </c>
      <c r="H19" t="n">
        <v>3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Talltita
Jättesvampmal
Revlummer</t>
        </is>
      </c>
      <c r="S19">
        <f>HYPERLINK("https://klasma.github.io/Logging_ESKILSTUNA/artfynd/A 44820-2019.xlsx", "A 44820-2019")</f>
        <v/>
      </c>
      <c r="T19">
        <f>HYPERLINK("https://klasma.github.io/Logging_ESKILSTUNA/kartor/A 44820-2019.png", "A 44820-2019")</f>
        <v/>
      </c>
      <c r="V19">
        <f>HYPERLINK("https://klasma.github.io/Logging_ESKILSTUNA/klagomål/A 44820-2019.docx", "A 44820-2019")</f>
        <v/>
      </c>
      <c r="W19">
        <f>HYPERLINK("https://klasma.github.io/Logging_ESKILSTUNA/klagomålsmail/A 44820-2019.docx", "A 44820-2019")</f>
        <v/>
      </c>
      <c r="X19">
        <f>HYPERLINK("https://klasma.github.io/Logging_ESKILSTUNA/tillsyn/A 44820-2019.docx", "A 44820-2019")</f>
        <v/>
      </c>
      <c r="Y19">
        <f>HYPERLINK("https://klasma.github.io/Logging_ESKILSTUNA/tillsynsmail/A 44820-2019.docx", "A 44820-2019")</f>
        <v/>
      </c>
    </row>
    <row r="20" ht="15" customHeight="1">
      <c r="A20" t="inlineStr">
        <is>
          <t>A 6861-2021</t>
        </is>
      </c>
      <c r="B20" s="1" t="n">
        <v>44237</v>
      </c>
      <c r="C20" s="1" t="n">
        <v>45205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Kyrkan</t>
        </is>
      </c>
      <c r="G20" t="n">
        <v>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Blodticka
Grönpyrola
Blåsippa</t>
        </is>
      </c>
      <c r="S20">
        <f>HYPERLINK("https://klasma.github.io/Logging_ESKILSTUNA/artfynd/A 6861-2021.xlsx", "A 6861-2021")</f>
        <v/>
      </c>
      <c r="T20">
        <f>HYPERLINK("https://klasma.github.io/Logging_ESKILSTUNA/kartor/A 6861-2021.png", "A 6861-2021")</f>
        <v/>
      </c>
      <c r="U20">
        <f>HYPERLINK("https://klasma.github.io/Logging_ESKILSTUNA/knärot/A 6861-2021.png", "A 6861-2021")</f>
        <v/>
      </c>
      <c r="V20">
        <f>HYPERLINK("https://klasma.github.io/Logging_ESKILSTUNA/klagomål/A 6861-2021.docx", "A 6861-2021")</f>
        <v/>
      </c>
      <c r="W20">
        <f>HYPERLINK("https://klasma.github.io/Logging_ESKILSTUNA/klagomålsmail/A 6861-2021.docx", "A 6861-2021")</f>
        <v/>
      </c>
      <c r="X20">
        <f>HYPERLINK("https://klasma.github.io/Logging_ESKILSTUNA/tillsyn/A 6861-2021.docx", "A 6861-2021")</f>
        <v/>
      </c>
      <c r="Y20">
        <f>HYPERLINK("https://klasma.github.io/Logging_ESKILSTUNA/tillsynsmail/A 6861-2021.docx", "A 6861-2021")</f>
        <v/>
      </c>
    </row>
    <row r="21" ht="15" customHeight="1">
      <c r="A21" t="inlineStr">
        <is>
          <t>A 24111-2021</t>
        </is>
      </c>
      <c r="B21" s="1" t="n">
        <v>44336</v>
      </c>
      <c r="C21" s="1" t="n">
        <v>45205</v>
      </c>
      <c r="D21" t="inlineStr">
        <is>
          <t>SÖDERMANLANDS LÄN</t>
        </is>
      </c>
      <c r="E21" t="inlineStr">
        <is>
          <t>ESKILSTUNA</t>
        </is>
      </c>
      <c r="G21" t="n">
        <v>5.7</v>
      </c>
      <c r="H21" t="n">
        <v>2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Svinrot
Svart trolldruva
Blåsippa
Gullviva</t>
        </is>
      </c>
      <c r="S21">
        <f>HYPERLINK("https://klasma.github.io/Logging_ESKILSTUNA/artfynd/A 24111-2021.xlsx", "A 24111-2021")</f>
        <v/>
      </c>
      <c r="T21">
        <f>HYPERLINK("https://klasma.github.io/Logging_ESKILSTUNA/kartor/A 24111-2021.png", "A 24111-2021")</f>
        <v/>
      </c>
      <c r="V21">
        <f>HYPERLINK("https://klasma.github.io/Logging_ESKILSTUNA/klagomål/A 24111-2021.docx", "A 24111-2021")</f>
        <v/>
      </c>
      <c r="W21">
        <f>HYPERLINK("https://klasma.github.io/Logging_ESKILSTUNA/klagomålsmail/A 24111-2021.docx", "A 24111-2021")</f>
        <v/>
      </c>
      <c r="X21">
        <f>HYPERLINK("https://klasma.github.io/Logging_ESKILSTUNA/tillsyn/A 24111-2021.docx", "A 24111-2021")</f>
        <v/>
      </c>
      <c r="Y21">
        <f>HYPERLINK("https://klasma.github.io/Logging_ESKILSTUNA/tillsynsmail/A 24111-2021.docx", "A 24111-2021")</f>
        <v/>
      </c>
    </row>
    <row r="22" ht="15" customHeight="1">
      <c r="A22" t="inlineStr">
        <is>
          <t>A 2968-2022</t>
        </is>
      </c>
      <c r="B22" s="1" t="n">
        <v>44581</v>
      </c>
      <c r="C22" s="1" t="n">
        <v>45205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5</v>
      </c>
      <c r="H22" t="n">
        <v>1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Bronshjon
Dropptaggsvamp
Vedticka
Blåsippa</t>
        </is>
      </c>
      <c r="S22">
        <f>HYPERLINK("https://klasma.github.io/Logging_ESKILSTUNA/artfynd/A 2968-2022.xlsx", "A 2968-2022")</f>
        <v/>
      </c>
      <c r="T22">
        <f>HYPERLINK("https://klasma.github.io/Logging_ESKILSTUNA/kartor/A 2968-2022.png", "A 2968-2022")</f>
        <v/>
      </c>
      <c r="V22">
        <f>HYPERLINK("https://klasma.github.io/Logging_ESKILSTUNA/klagomål/A 2968-2022.docx", "A 2968-2022")</f>
        <v/>
      </c>
      <c r="W22">
        <f>HYPERLINK("https://klasma.github.io/Logging_ESKILSTUNA/klagomålsmail/A 2968-2022.docx", "A 2968-2022")</f>
        <v/>
      </c>
      <c r="X22">
        <f>HYPERLINK("https://klasma.github.io/Logging_ESKILSTUNA/tillsyn/A 2968-2022.docx", "A 2968-2022")</f>
        <v/>
      </c>
      <c r="Y22">
        <f>HYPERLINK("https://klasma.github.io/Logging_ESKILSTUNA/tillsynsmail/A 2968-2022.docx", "A 2968-2022")</f>
        <v/>
      </c>
    </row>
    <row r="23" ht="15" customHeight="1">
      <c r="A23" t="inlineStr">
        <is>
          <t>A 30969-2022</t>
        </is>
      </c>
      <c r="B23" s="1" t="n">
        <v>44768</v>
      </c>
      <c r="C23" s="1" t="n">
        <v>45205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4</v>
      </c>
      <c r="H23" t="n">
        <v>3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Stare
Havsörn
Spillkråka
Hasselticka</t>
        </is>
      </c>
      <c r="S23">
        <f>HYPERLINK("https://klasma.github.io/Logging_ESKILSTUNA/artfynd/A 30969-2022.xlsx", "A 30969-2022")</f>
        <v/>
      </c>
      <c r="T23">
        <f>HYPERLINK("https://klasma.github.io/Logging_ESKILSTUNA/kartor/A 30969-2022.png", "A 30969-2022")</f>
        <v/>
      </c>
      <c r="V23">
        <f>HYPERLINK("https://klasma.github.io/Logging_ESKILSTUNA/klagomål/A 30969-2022.docx", "A 30969-2022")</f>
        <v/>
      </c>
      <c r="W23">
        <f>HYPERLINK("https://klasma.github.io/Logging_ESKILSTUNA/klagomålsmail/A 30969-2022.docx", "A 30969-2022")</f>
        <v/>
      </c>
      <c r="X23">
        <f>HYPERLINK("https://klasma.github.io/Logging_ESKILSTUNA/tillsyn/A 30969-2022.docx", "A 30969-2022")</f>
        <v/>
      </c>
      <c r="Y23">
        <f>HYPERLINK("https://klasma.github.io/Logging_ESKILSTUNA/tillsynsmail/A 30969-2022.docx", "A 30969-2022")</f>
        <v/>
      </c>
    </row>
    <row r="24" ht="15" customHeight="1">
      <c r="A24" t="inlineStr">
        <is>
          <t>A 33699-2022</t>
        </is>
      </c>
      <c r="B24" s="1" t="n">
        <v>44789</v>
      </c>
      <c r="C24" s="1" t="n">
        <v>45205</v>
      </c>
      <c r="D24" t="inlineStr">
        <is>
          <t>SÖDERMANLANDS LÄN</t>
        </is>
      </c>
      <c r="E24" t="inlineStr">
        <is>
          <t>ESKILSTUNA</t>
        </is>
      </c>
      <c r="G24" t="n">
        <v>6.5</v>
      </c>
      <c r="H24" t="n">
        <v>3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4</v>
      </c>
      <c r="R24" s="2" t="inlineStr">
        <is>
          <t>Knärot
Mindre märgborre
Blåsippa
Mattlummer</t>
        </is>
      </c>
      <c r="S24">
        <f>HYPERLINK("https://klasma.github.io/Logging_ESKILSTUNA/artfynd/A 33699-2022.xlsx", "A 33699-2022")</f>
        <v/>
      </c>
      <c r="T24">
        <f>HYPERLINK("https://klasma.github.io/Logging_ESKILSTUNA/kartor/A 33699-2022.png", "A 33699-2022")</f>
        <v/>
      </c>
      <c r="U24">
        <f>HYPERLINK("https://klasma.github.io/Logging_ESKILSTUNA/knärot/A 33699-2022.png", "A 33699-2022")</f>
        <v/>
      </c>
      <c r="V24">
        <f>HYPERLINK("https://klasma.github.io/Logging_ESKILSTUNA/klagomål/A 33699-2022.docx", "A 33699-2022")</f>
        <v/>
      </c>
      <c r="W24">
        <f>HYPERLINK("https://klasma.github.io/Logging_ESKILSTUNA/klagomålsmail/A 33699-2022.docx", "A 33699-2022")</f>
        <v/>
      </c>
      <c r="X24">
        <f>HYPERLINK("https://klasma.github.io/Logging_ESKILSTUNA/tillsyn/A 33699-2022.docx", "A 33699-2022")</f>
        <v/>
      </c>
      <c r="Y24">
        <f>HYPERLINK("https://klasma.github.io/Logging_ESKILSTUNA/tillsynsmail/A 33699-2022.docx", "A 33699-2022")</f>
        <v/>
      </c>
    </row>
    <row r="25" ht="15" customHeight="1">
      <c r="A25" t="inlineStr">
        <is>
          <t>A 4219-2023</t>
        </is>
      </c>
      <c r="B25" s="1" t="n">
        <v>44953</v>
      </c>
      <c r="C25" s="1" t="n">
        <v>45205</v>
      </c>
      <c r="D25" t="inlineStr">
        <is>
          <t>SÖDERMANLANDS LÄN</t>
        </is>
      </c>
      <c r="E25" t="inlineStr">
        <is>
          <t>ESKILSTUNA</t>
        </is>
      </c>
      <c r="F25" t="inlineStr">
        <is>
          <t>Kyrkan</t>
        </is>
      </c>
      <c r="G25" t="n">
        <v>0.6</v>
      </c>
      <c r="H25" t="n">
        <v>2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Leptoporus erubescens
Talltita
Mindre märgborre</t>
        </is>
      </c>
      <c r="S25">
        <f>HYPERLINK("https://klasma.github.io/Logging_ESKILSTUNA/artfynd/A 4219-2023.xlsx", "A 4219-2023")</f>
        <v/>
      </c>
      <c r="T25">
        <f>HYPERLINK("https://klasma.github.io/Logging_ESKILSTUNA/kartor/A 4219-2023.png", "A 4219-2023")</f>
        <v/>
      </c>
      <c r="U25">
        <f>HYPERLINK("https://klasma.github.io/Logging_ESKILSTUNA/knärot/A 4219-2023.png", "A 4219-2023")</f>
        <v/>
      </c>
      <c r="V25">
        <f>HYPERLINK("https://klasma.github.io/Logging_ESKILSTUNA/klagomål/A 4219-2023.docx", "A 4219-2023")</f>
        <v/>
      </c>
      <c r="W25">
        <f>HYPERLINK("https://klasma.github.io/Logging_ESKILSTUNA/klagomålsmail/A 4219-2023.docx", "A 4219-2023")</f>
        <v/>
      </c>
      <c r="X25">
        <f>HYPERLINK("https://klasma.github.io/Logging_ESKILSTUNA/tillsyn/A 4219-2023.docx", "A 4219-2023")</f>
        <v/>
      </c>
      <c r="Y25">
        <f>HYPERLINK("https://klasma.github.io/Logging_ESKILSTUNA/tillsynsmail/A 4219-2023.docx", "A 4219-2023")</f>
        <v/>
      </c>
    </row>
    <row r="26" ht="15" customHeight="1">
      <c r="A26" t="inlineStr">
        <is>
          <t>A 43401-2019</t>
        </is>
      </c>
      <c r="B26" s="1" t="n">
        <v>43706</v>
      </c>
      <c r="C26" s="1" t="n">
        <v>45205</v>
      </c>
      <c r="D26" t="inlineStr">
        <is>
          <t>SÖDERMANLANDS LÄN</t>
        </is>
      </c>
      <c r="E26" t="inlineStr">
        <is>
          <t>ESKILSTUNA</t>
        </is>
      </c>
      <c r="G26" t="n">
        <v>22.9</v>
      </c>
      <c r="H26" t="n">
        <v>2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Grön sköldmossa
Stubbspretmossa
Lopplummer</t>
        </is>
      </c>
      <c r="S26">
        <f>HYPERLINK("https://klasma.github.io/Logging_ESKILSTUNA/artfynd/A 43401-2019.xlsx", "A 43401-2019")</f>
        <v/>
      </c>
      <c r="T26">
        <f>HYPERLINK("https://klasma.github.io/Logging_ESKILSTUNA/kartor/A 43401-2019.png", "A 43401-2019")</f>
        <v/>
      </c>
      <c r="V26">
        <f>HYPERLINK("https://klasma.github.io/Logging_ESKILSTUNA/klagomål/A 43401-2019.docx", "A 43401-2019")</f>
        <v/>
      </c>
      <c r="W26">
        <f>HYPERLINK("https://klasma.github.io/Logging_ESKILSTUNA/klagomålsmail/A 43401-2019.docx", "A 43401-2019")</f>
        <v/>
      </c>
      <c r="X26">
        <f>HYPERLINK("https://klasma.github.io/Logging_ESKILSTUNA/tillsyn/A 43401-2019.docx", "A 43401-2019")</f>
        <v/>
      </c>
      <c r="Y26">
        <f>HYPERLINK("https://klasma.github.io/Logging_ESKILSTUNA/tillsynsmail/A 43401-2019.docx", "A 43401-2019")</f>
        <v/>
      </c>
    </row>
    <row r="27" ht="15" customHeight="1">
      <c r="A27" t="inlineStr">
        <is>
          <t>A 51649-2019</t>
        </is>
      </c>
      <c r="B27" s="1" t="n">
        <v>43740</v>
      </c>
      <c r="C27" s="1" t="n">
        <v>45205</v>
      </c>
      <c r="D27" t="inlineStr">
        <is>
          <t>SÖDERMANLANDS LÄN</t>
        </is>
      </c>
      <c r="E27" t="inlineStr">
        <is>
          <t>ESKILSTUNA</t>
        </is>
      </c>
      <c r="G27" t="n">
        <v>26.1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Blåsippa</t>
        </is>
      </c>
      <c r="S27">
        <f>HYPERLINK("https://klasma.github.io/Logging_ESKILSTUNA/artfynd/A 51649-2019.xlsx", "A 51649-2019")</f>
        <v/>
      </c>
      <c r="T27">
        <f>HYPERLINK("https://klasma.github.io/Logging_ESKILSTUNA/kartor/A 51649-2019.png", "A 51649-2019")</f>
        <v/>
      </c>
      <c r="U27">
        <f>HYPERLINK("https://klasma.github.io/Logging_ESKILSTUNA/knärot/A 51649-2019.png", "A 51649-2019")</f>
        <v/>
      </c>
      <c r="V27">
        <f>HYPERLINK("https://klasma.github.io/Logging_ESKILSTUNA/klagomål/A 51649-2019.docx", "A 51649-2019")</f>
        <v/>
      </c>
      <c r="W27">
        <f>HYPERLINK("https://klasma.github.io/Logging_ESKILSTUNA/klagomålsmail/A 51649-2019.docx", "A 51649-2019")</f>
        <v/>
      </c>
      <c r="X27">
        <f>HYPERLINK("https://klasma.github.io/Logging_ESKILSTUNA/tillsyn/A 51649-2019.docx", "A 51649-2019")</f>
        <v/>
      </c>
      <c r="Y27">
        <f>HYPERLINK("https://klasma.github.io/Logging_ESKILSTUNA/tillsynsmail/A 51649-2019.docx", "A 51649-2019")</f>
        <v/>
      </c>
    </row>
    <row r="28" ht="15" customHeight="1">
      <c r="A28" t="inlineStr">
        <is>
          <t>A 57180-2020</t>
        </is>
      </c>
      <c r="B28" s="1" t="n">
        <v>44139</v>
      </c>
      <c r="C28" s="1" t="n">
        <v>45205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Kommuner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Ask
Fyrflikig jordstjärna
Blåsippa</t>
        </is>
      </c>
      <c r="S28">
        <f>HYPERLINK("https://klasma.github.io/Logging_ESKILSTUNA/artfynd/A 57180-2020.xlsx", "A 57180-2020")</f>
        <v/>
      </c>
      <c r="T28">
        <f>HYPERLINK("https://klasma.github.io/Logging_ESKILSTUNA/kartor/A 57180-2020.png", "A 57180-2020")</f>
        <v/>
      </c>
      <c r="V28">
        <f>HYPERLINK("https://klasma.github.io/Logging_ESKILSTUNA/klagomål/A 57180-2020.docx", "A 57180-2020")</f>
        <v/>
      </c>
      <c r="W28">
        <f>HYPERLINK("https://klasma.github.io/Logging_ESKILSTUNA/klagomålsmail/A 57180-2020.docx", "A 57180-2020")</f>
        <v/>
      </c>
      <c r="X28">
        <f>HYPERLINK("https://klasma.github.io/Logging_ESKILSTUNA/tillsyn/A 57180-2020.docx", "A 57180-2020")</f>
        <v/>
      </c>
      <c r="Y28">
        <f>HYPERLINK("https://klasma.github.io/Logging_ESKILSTUNA/tillsynsmail/A 57180-2020.docx", "A 57180-2020")</f>
        <v/>
      </c>
    </row>
    <row r="29" ht="15" customHeight="1">
      <c r="A29" t="inlineStr">
        <is>
          <t>A 15323-2021</t>
        </is>
      </c>
      <c r="B29" s="1" t="n">
        <v>44284</v>
      </c>
      <c r="C29" s="1" t="n">
        <v>45205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Kyrkan</t>
        </is>
      </c>
      <c r="G29" t="n">
        <v>8.5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Spillkråka
Blåsippa</t>
        </is>
      </c>
      <c r="S29">
        <f>HYPERLINK("https://klasma.github.io/Logging_ESKILSTUNA/artfynd/A 15323-2021.xlsx", "A 15323-2021")</f>
        <v/>
      </c>
      <c r="T29">
        <f>HYPERLINK("https://klasma.github.io/Logging_ESKILSTUNA/kartor/A 15323-2021.png", "A 15323-2021")</f>
        <v/>
      </c>
      <c r="U29">
        <f>HYPERLINK("https://klasma.github.io/Logging_ESKILSTUNA/knärot/A 15323-2021.png", "A 15323-2021")</f>
        <v/>
      </c>
      <c r="V29">
        <f>HYPERLINK("https://klasma.github.io/Logging_ESKILSTUNA/klagomål/A 15323-2021.docx", "A 15323-2021")</f>
        <v/>
      </c>
      <c r="W29">
        <f>HYPERLINK("https://klasma.github.io/Logging_ESKILSTUNA/klagomålsmail/A 15323-2021.docx", "A 15323-2021")</f>
        <v/>
      </c>
      <c r="X29">
        <f>HYPERLINK("https://klasma.github.io/Logging_ESKILSTUNA/tillsyn/A 15323-2021.docx", "A 15323-2021")</f>
        <v/>
      </c>
      <c r="Y29">
        <f>HYPERLINK("https://klasma.github.io/Logging_ESKILSTUNA/tillsynsmail/A 15323-2021.docx", "A 15323-2021")</f>
        <v/>
      </c>
    </row>
    <row r="30" ht="15" customHeight="1">
      <c r="A30" t="inlineStr">
        <is>
          <t>A 15060-2022</t>
        </is>
      </c>
      <c r="B30" s="1" t="n">
        <v>44657</v>
      </c>
      <c r="C30" s="1" t="n">
        <v>45205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1.3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Duvhök
Ullticka
Granbarkgnagare</t>
        </is>
      </c>
      <c r="S30">
        <f>HYPERLINK("https://klasma.github.io/Logging_ESKILSTUNA/artfynd/A 15060-2022.xlsx", "A 15060-2022")</f>
        <v/>
      </c>
      <c r="T30">
        <f>HYPERLINK("https://klasma.github.io/Logging_ESKILSTUNA/kartor/A 15060-2022.png", "A 15060-2022")</f>
        <v/>
      </c>
      <c r="V30">
        <f>HYPERLINK("https://klasma.github.io/Logging_ESKILSTUNA/klagomål/A 15060-2022.docx", "A 15060-2022")</f>
        <v/>
      </c>
      <c r="W30">
        <f>HYPERLINK("https://klasma.github.io/Logging_ESKILSTUNA/klagomålsmail/A 15060-2022.docx", "A 15060-2022")</f>
        <v/>
      </c>
      <c r="X30">
        <f>HYPERLINK("https://klasma.github.io/Logging_ESKILSTUNA/tillsyn/A 15060-2022.docx", "A 15060-2022")</f>
        <v/>
      </c>
      <c r="Y30">
        <f>HYPERLINK("https://klasma.github.io/Logging_ESKILSTUNA/tillsynsmail/A 15060-2022.docx", "A 15060-2022")</f>
        <v/>
      </c>
    </row>
    <row r="31" ht="15" customHeight="1">
      <c r="A31" t="inlineStr">
        <is>
          <t>A 61503-2022</t>
        </is>
      </c>
      <c r="B31" s="1" t="n">
        <v>44916</v>
      </c>
      <c r="C31" s="1" t="n">
        <v>45205</v>
      </c>
      <c r="D31" t="inlineStr">
        <is>
          <t>SÖDERMANLANDS LÄN</t>
        </is>
      </c>
      <c r="E31" t="inlineStr">
        <is>
          <t>ESKILSTUNA</t>
        </is>
      </c>
      <c r="G31" t="n">
        <v>1.8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Mindre bastardsvärmare
Skogsklocka
Svinrot</t>
        </is>
      </c>
      <c r="S31">
        <f>HYPERLINK("https://klasma.github.io/Logging_ESKILSTUNA/artfynd/A 61503-2022.xlsx", "A 61503-2022")</f>
        <v/>
      </c>
      <c r="T31">
        <f>HYPERLINK("https://klasma.github.io/Logging_ESKILSTUNA/kartor/A 61503-2022.png", "A 61503-2022")</f>
        <v/>
      </c>
      <c r="V31">
        <f>HYPERLINK("https://klasma.github.io/Logging_ESKILSTUNA/klagomål/A 61503-2022.docx", "A 61503-2022")</f>
        <v/>
      </c>
      <c r="W31">
        <f>HYPERLINK("https://klasma.github.io/Logging_ESKILSTUNA/klagomålsmail/A 61503-2022.docx", "A 61503-2022")</f>
        <v/>
      </c>
      <c r="X31">
        <f>HYPERLINK("https://klasma.github.io/Logging_ESKILSTUNA/tillsyn/A 61503-2022.docx", "A 61503-2022")</f>
        <v/>
      </c>
      <c r="Y31">
        <f>HYPERLINK("https://klasma.github.io/Logging_ESKILSTUNA/tillsynsmail/A 61503-2022.docx", "A 61503-2022")</f>
        <v/>
      </c>
    </row>
    <row r="32" ht="15" customHeight="1">
      <c r="A32" t="inlineStr">
        <is>
          <t>A 4212-2023</t>
        </is>
      </c>
      <c r="B32" s="1" t="n">
        <v>44953</v>
      </c>
      <c r="C32" s="1" t="n">
        <v>45205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0.7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Mindre hackspett
Granbarkgnagare
Blåsippa</t>
        </is>
      </c>
      <c r="S32">
        <f>HYPERLINK("https://klasma.github.io/Logging_ESKILSTUNA/artfynd/A 4212-2023.xlsx", "A 4212-2023")</f>
        <v/>
      </c>
      <c r="T32">
        <f>HYPERLINK("https://klasma.github.io/Logging_ESKILSTUNA/kartor/A 4212-2023.png", "A 4212-2023")</f>
        <v/>
      </c>
      <c r="U32">
        <f>HYPERLINK("https://klasma.github.io/Logging_ESKILSTUNA/knärot/A 4212-2023.png", "A 4212-2023")</f>
        <v/>
      </c>
      <c r="V32">
        <f>HYPERLINK("https://klasma.github.io/Logging_ESKILSTUNA/klagomål/A 4212-2023.docx", "A 4212-2023")</f>
        <v/>
      </c>
      <c r="W32">
        <f>HYPERLINK("https://klasma.github.io/Logging_ESKILSTUNA/klagomålsmail/A 4212-2023.docx", "A 4212-2023")</f>
        <v/>
      </c>
      <c r="X32">
        <f>HYPERLINK("https://klasma.github.io/Logging_ESKILSTUNA/tillsyn/A 4212-2023.docx", "A 4212-2023")</f>
        <v/>
      </c>
      <c r="Y32">
        <f>HYPERLINK("https://klasma.github.io/Logging_ESKILSTUNA/tillsynsmail/A 4212-2023.docx", "A 4212-2023")</f>
        <v/>
      </c>
    </row>
    <row r="33" ht="15" customHeight="1">
      <c r="A33" t="inlineStr">
        <is>
          <t>A 8757-2023</t>
        </is>
      </c>
      <c r="B33" s="1" t="n">
        <v>44978</v>
      </c>
      <c r="C33" s="1" t="n">
        <v>45205</v>
      </c>
      <c r="D33" t="inlineStr">
        <is>
          <t>SÖDERMANLANDS LÄN</t>
        </is>
      </c>
      <c r="E33" t="inlineStr">
        <is>
          <t>ESKILSTUNA</t>
        </is>
      </c>
      <c r="F33" t="inlineStr">
        <is>
          <t>Övriga Aktiebolag</t>
        </is>
      </c>
      <c r="G33" t="n">
        <v>6.8</v>
      </c>
      <c r="H33" t="n">
        <v>2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Mindre märgborre</t>
        </is>
      </c>
      <c r="S33">
        <f>HYPERLINK("https://klasma.github.io/Logging_ESKILSTUNA/artfynd/A 8757-2023.xlsx", "A 8757-2023")</f>
        <v/>
      </c>
      <c r="T33">
        <f>HYPERLINK("https://klasma.github.io/Logging_ESKILSTUNA/kartor/A 8757-2023.png", "A 8757-2023")</f>
        <v/>
      </c>
      <c r="U33">
        <f>HYPERLINK("https://klasma.github.io/Logging_ESKILSTUNA/knärot/A 8757-2023.png", "A 8757-2023")</f>
        <v/>
      </c>
      <c r="V33">
        <f>HYPERLINK("https://klasma.github.io/Logging_ESKILSTUNA/klagomål/A 8757-2023.docx", "A 8757-2023")</f>
        <v/>
      </c>
      <c r="W33">
        <f>HYPERLINK("https://klasma.github.io/Logging_ESKILSTUNA/klagomålsmail/A 8757-2023.docx", "A 8757-2023")</f>
        <v/>
      </c>
      <c r="X33">
        <f>HYPERLINK("https://klasma.github.io/Logging_ESKILSTUNA/tillsyn/A 8757-2023.docx", "A 8757-2023")</f>
        <v/>
      </c>
      <c r="Y33">
        <f>HYPERLINK("https://klasma.github.io/Logging_ESKILSTUNA/tillsynsmail/A 8757-2023.docx", "A 8757-2023")</f>
        <v/>
      </c>
    </row>
    <row r="34" ht="15" customHeight="1">
      <c r="A34" t="inlineStr">
        <is>
          <t>A 18968-2023</t>
        </is>
      </c>
      <c r="B34" s="1" t="n">
        <v>45044</v>
      </c>
      <c r="C34" s="1" t="n">
        <v>45205</v>
      </c>
      <c r="D34" t="inlineStr">
        <is>
          <t>SÖDERMANLANDS LÄN</t>
        </is>
      </c>
      <c r="E34" t="inlineStr">
        <is>
          <t>ESKILSTUNA</t>
        </is>
      </c>
      <c r="G34" t="n">
        <v>3.6</v>
      </c>
      <c r="H34" t="n">
        <v>0</v>
      </c>
      <c r="I34" t="n">
        <v>2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Ask
Svart trolldruva
Tibast</t>
        </is>
      </c>
      <c r="S34">
        <f>HYPERLINK("https://klasma.github.io/Logging_ESKILSTUNA/artfynd/A 18968-2023.xlsx", "A 18968-2023")</f>
        <v/>
      </c>
      <c r="T34">
        <f>HYPERLINK("https://klasma.github.io/Logging_ESKILSTUNA/kartor/A 18968-2023.png", "A 18968-2023")</f>
        <v/>
      </c>
      <c r="V34">
        <f>HYPERLINK("https://klasma.github.io/Logging_ESKILSTUNA/klagomål/A 18968-2023.docx", "A 18968-2023")</f>
        <v/>
      </c>
      <c r="W34">
        <f>HYPERLINK("https://klasma.github.io/Logging_ESKILSTUNA/klagomålsmail/A 18968-2023.docx", "A 18968-2023")</f>
        <v/>
      </c>
      <c r="X34">
        <f>HYPERLINK("https://klasma.github.io/Logging_ESKILSTUNA/tillsyn/A 18968-2023.docx", "A 18968-2023")</f>
        <v/>
      </c>
      <c r="Y34">
        <f>HYPERLINK("https://klasma.github.io/Logging_ESKILSTUNA/tillsynsmail/A 18968-2023.docx", "A 18968-2023")</f>
        <v/>
      </c>
    </row>
    <row r="35" ht="15" customHeight="1">
      <c r="A35" t="inlineStr">
        <is>
          <t>A 18962-2023</t>
        </is>
      </c>
      <c r="B35" s="1" t="n">
        <v>45044</v>
      </c>
      <c r="C35" s="1" t="n">
        <v>45205</v>
      </c>
      <c r="D35" t="inlineStr">
        <is>
          <t>SÖDERMANLANDS LÄN</t>
        </is>
      </c>
      <c r="E35" t="inlineStr">
        <is>
          <t>ESKILSTUNA</t>
        </is>
      </c>
      <c r="G35" t="n">
        <v>7.3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Mindre märgborre
Vätteros
Blåsippa</t>
        </is>
      </c>
      <c r="S35">
        <f>HYPERLINK("https://klasma.github.io/Logging_ESKILSTUNA/artfynd/A 18962-2023.xlsx", "A 18962-2023")</f>
        <v/>
      </c>
      <c r="T35">
        <f>HYPERLINK("https://klasma.github.io/Logging_ESKILSTUNA/kartor/A 18962-2023.png", "A 18962-2023")</f>
        <v/>
      </c>
      <c r="U35">
        <f>HYPERLINK("https://klasma.github.io/Logging_ESKILSTUNA/knärot/A 18962-2023.png", "A 18962-2023")</f>
        <v/>
      </c>
      <c r="V35">
        <f>HYPERLINK("https://klasma.github.io/Logging_ESKILSTUNA/klagomål/A 18962-2023.docx", "A 18962-2023")</f>
        <v/>
      </c>
      <c r="W35">
        <f>HYPERLINK("https://klasma.github.io/Logging_ESKILSTUNA/klagomålsmail/A 18962-2023.docx", "A 18962-2023")</f>
        <v/>
      </c>
      <c r="X35">
        <f>HYPERLINK("https://klasma.github.io/Logging_ESKILSTUNA/tillsyn/A 18962-2023.docx", "A 18962-2023")</f>
        <v/>
      </c>
      <c r="Y35">
        <f>HYPERLINK("https://klasma.github.io/Logging_ESKILSTUNA/tillsynsmail/A 18962-2023.docx", "A 18962-2023")</f>
        <v/>
      </c>
    </row>
    <row r="36" ht="15" customHeight="1">
      <c r="A36" t="inlineStr">
        <is>
          <t>A 17136-2019</t>
        </is>
      </c>
      <c r="B36" s="1" t="n">
        <v>43551</v>
      </c>
      <c r="C36" s="1" t="n">
        <v>45205</v>
      </c>
      <c r="D36" t="inlineStr">
        <is>
          <t>SÖDERMANLANDS LÄN</t>
        </is>
      </c>
      <c r="E36" t="inlineStr">
        <is>
          <t>ESKILSTUNA</t>
        </is>
      </c>
      <c r="G36" t="n">
        <v>5.8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Tibast
Blåsippa</t>
        </is>
      </c>
      <c r="S36">
        <f>HYPERLINK("https://klasma.github.io/Logging_ESKILSTUNA/artfynd/A 17136-2019.xlsx", "A 17136-2019")</f>
        <v/>
      </c>
      <c r="T36">
        <f>HYPERLINK("https://klasma.github.io/Logging_ESKILSTUNA/kartor/A 17136-2019.png", "A 17136-2019")</f>
        <v/>
      </c>
      <c r="V36">
        <f>HYPERLINK("https://klasma.github.io/Logging_ESKILSTUNA/klagomål/A 17136-2019.docx", "A 17136-2019")</f>
        <v/>
      </c>
      <c r="W36">
        <f>HYPERLINK("https://klasma.github.io/Logging_ESKILSTUNA/klagomålsmail/A 17136-2019.docx", "A 17136-2019")</f>
        <v/>
      </c>
      <c r="X36">
        <f>HYPERLINK("https://klasma.github.io/Logging_ESKILSTUNA/tillsyn/A 17136-2019.docx", "A 17136-2019")</f>
        <v/>
      </c>
      <c r="Y36">
        <f>HYPERLINK("https://klasma.github.io/Logging_ESKILSTUNA/tillsynsmail/A 17136-2019.docx", "A 17136-2019")</f>
        <v/>
      </c>
    </row>
    <row r="37" ht="15" customHeight="1">
      <c r="A37" t="inlineStr">
        <is>
          <t>A 51654-2019</t>
        </is>
      </c>
      <c r="B37" s="1" t="n">
        <v>43740</v>
      </c>
      <c r="C37" s="1" t="n">
        <v>45205</v>
      </c>
      <c r="D37" t="inlineStr">
        <is>
          <t>SÖDERMANLANDS LÄN</t>
        </is>
      </c>
      <c r="E37" t="inlineStr">
        <is>
          <t>ESKILSTUNA</t>
        </is>
      </c>
      <c r="G37" t="n">
        <v>7.9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Svartvit flugsnappare</t>
        </is>
      </c>
      <c r="S37">
        <f>HYPERLINK("https://klasma.github.io/Logging_ESKILSTUNA/artfynd/A 51654-2019.xlsx", "A 51654-2019")</f>
        <v/>
      </c>
      <c r="T37">
        <f>HYPERLINK("https://klasma.github.io/Logging_ESKILSTUNA/kartor/A 51654-2019.png", "A 51654-2019")</f>
        <v/>
      </c>
      <c r="V37">
        <f>HYPERLINK("https://klasma.github.io/Logging_ESKILSTUNA/klagomål/A 51654-2019.docx", "A 51654-2019")</f>
        <v/>
      </c>
      <c r="W37">
        <f>HYPERLINK("https://klasma.github.io/Logging_ESKILSTUNA/klagomålsmail/A 51654-2019.docx", "A 51654-2019")</f>
        <v/>
      </c>
      <c r="X37">
        <f>HYPERLINK("https://klasma.github.io/Logging_ESKILSTUNA/tillsyn/A 51654-2019.docx", "A 51654-2019")</f>
        <v/>
      </c>
      <c r="Y37">
        <f>HYPERLINK("https://klasma.github.io/Logging_ESKILSTUNA/tillsynsmail/A 51654-2019.docx", "A 51654-2019")</f>
        <v/>
      </c>
    </row>
    <row r="38" ht="15" customHeight="1">
      <c r="A38" t="inlineStr">
        <is>
          <t>A 69146-2019</t>
        </is>
      </c>
      <c r="B38" s="1" t="n">
        <v>43815</v>
      </c>
      <c r="C38" s="1" t="n">
        <v>45205</v>
      </c>
      <c r="D38" t="inlineStr">
        <is>
          <t>SÖDERMANLANDS LÄN</t>
        </is>
      </c>
      <c r="E38" t="inlineStr">
        <is>
          <t>ESKILSTUNA</t>
        </is>
      </c>
      <c r="G38" t="n">
        <v>19.3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Järpe
Kungsörn</t>
        </is>
      </c>
      <c r="S38">
        <f>HYPERLINK("https://klasma.github.io/Logging_ESKILSTUNA/artfynd/A 69146-2019.xlsx", "A 69146-2019")</f>
        <v/>
      </c>
      <c r="T38">
        <f>HYPERLINK("https://klasma.github.io/Logging_ESKILSTUNA/kartor/A 69146-2019.png", "A 69146-2019")</f>
        <v/>
      </c>
      <c r="V38">
        <f>HYPERLINK("https://klasma.github.io/Logging_ESKILSTUNA/klagomål/A 69146-2019.docx", "A 69146-2019")</f>
        <v/>
      </c>
      <c r="W38">
        <f>HYPERLINK("https://klasma.github.io/Logging_ESKILSTUNA/klagomålsmail/A 69146-2019.docx", "A 69146-2019")</f>
        <v/>
      </c>
      <c r="X38">
        <f>HYPERLINK("https://klasma.github.io/Logging_ESKILSTUNA/tillsyn/A 69146-2019.docx", "A 69146-2019")</f>
        <v/>
      </c>
      <c r="Y38">
        <f>HYPERLINK("https://klasma.github.io/Logging_ESKILSTUNA/tillsynsmail/A 69146-2019.docx", "A 69146-2019")</f>
        <v/>
      </c>
    </row>
    <row r="39" ht="15" customHeight="1">
      <c r="A39" t="inlineStr">
        <is>
          <t>A 3683-2020</t>
        </is>
      </c>
      <c r="B39" s="1" t="n">
        <v>43845</v>
      </c>
      <c r="C39" s="1" t="n">
        <v>45205</v>
      </c>
      <c r="D39" t="inlineStr">
        <is>
          <t>SÖDERMANLANDS LÄN</t>
        </is>
      </c>
      <c r="E39" t="inlineStr">
        <is>
          <t>ESKILSTUNA</t>
        </is>
      </c>
      <c r="G39" t="n">
        <v>10.3</v>
      </c>
      <c r="H39" t="n">
        <v>2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Blåsippa</t>
        </is>
      </c>
      <c r="S39">
        <f>HYPERLINK("https://klasma.github.io/Logging_ESKILSTUNA/artfynd/A 3683-2020.xlsx", "A 3683-2020")</f>
        <v/>
      </c>
      <c r="T39">
        <f>HYPERLINK("https://klasma.github.io/Logging_ESKILSTUNA/kartor/A 3683-2020.png", "A 3683-2020")</f>
        <v/>
      </c>
      <c r="U39">
        <f>HYPERLINK("https://klasma.github.io/Logging_ESKILSTUNA/knärot/A 3683-2020.png", "A 3683-2020")</f>
        <v/>
      </c>
      <c r="V39">
        <f>HYPERLINK("https://klasma.github.io/Logging_ESKILSTUNA/klagomål/A 3683-2020.docx", "A 3683-2020")</f>
        <v/>
      </c>
      <c r="W39">
        <f>HYPERLINK("https://klasma.github.io/Logging_ESKILSTUNA/klagomålsmail/A 3683-2020.docx", "A 3683-2020")</f>
        <v/>
      </c>
      <c r="X39">
        <f>HYPERLINK("https://klasma.github.io/Logging_ESKILSTUNA/tillsyn/A 3683-2020.docx", "A 3683-2020")</f>
        <v/>
      </c>
      <c r="Y39">
        <f>HYPERLINK("https://klasma.github.io/Logging_ESKILSTUNA/tillsynsmail/A 3683-2020.docx", "A 3683-2020")</f>
        <v/>
      </c>
    </row>
    <row r="40" ht="15" customHeight="1">
      <c r="A40" t="inlineStr">
        <is>
          <t>A 5581-2020</t>
        </is>
      </c>
      <c r="B40" s="1" t="n">
        <v>43861</v>
      </c>
      <c r="C40" s="1" t="n">
        <v>45205</v>
      </c>
      <c r="D40" t="inlineStr">
        <is>
          <t>SÖDERMANLANDS LÄN</t>
        </is>
      </c>
      <c r="E40" t="inlineStr">
        <is>
          <t>ESKILSTUNA</t>
        </is>
      </c>
      <c r="G40" t="n">
        <v>7.1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Rävticka
Vedticka</t>
        </is>
      </c>
      <c r="S40">
        <f>HYPERLINK("https://klasma.github.io/Logging_ESKILSTUNA/artfynd/A 5581-2020.xlsx", "A 5581-2020")</f>
        <v/>
      </c>
      <c r="T40">
        <f>HYPERLINK("https://klasma.github.io/Logging_ESKILSTUNA/kartor/A 5581-2020.png", "A 5581-2020")</f>
        <v/>
      </c>
      <c r="V40">
        <f>HYPERLINK("https://klasma.github.io/Logging_ESKILSTUNA/klagomål/A 5581-2020.docx", "A 5581-2020")</f>
        <v/>
      </c>
      <c r="W40">
        <f>HYPERLINK("https://klasma.github.io/Logging_ESKILSTUNA/klagomålsmail/A 5581-2020.docx", "A 5581-2020")</f>
        <v/>
      </c>
      <c r="X40">
        <f>HYPERLINK("https://klasma.github.io/Logging_ESKILSTUNA/tillsyn/A 5581-2020.docx", "A 5581-2020")</f>
        <v/>
      </c>
      <c r="Y40">
        <f>HYPERLINK("https://klasma.github.io/Logging_ESKILSTUNA/tillsynsmail/A 5581-2020.docx", "A 5581-2020")</f>
        <v/>
      </c>
    </row>
    <row r="41" ht="15" customHeight="1">
      <c r="A41" t="inlineStr">
        <is>
          <t>A 46353-2020</t>
        </is>
      </c>
      <c r="B41" s="1" t="n">
        <v>44092</v>
      </c>
      <c r="C41" s="1" t="n">
        <v>45205</v>
      </c>
      <c r="D41" t="inlineStr">
        <is>
          <t>SÖDERMANLANDS LÄN</t>
        </is>
      </c>
      <c r="E41" t="inlineStr">
        <is>
          <t>ESKILSTUNA</t>
        </is>
      </c>
      <c r="F41" t="inlineStr">
        <is>
          <t>Sveaskog</t>
        </is>
      </c>
      <c r="G41" t="n">
        <v>1.5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Sandviol
Revlummer</t>
        </is>
      </c>
      <c r="S41">
        <f>HYPERLINK("https://klasma.github.io/Logging_ESKILSTUNA/artfynd/A 46353-2020.xlsx", "A 46353-2020")</f>
        <v/>
      </c>
      <c r="T41">
        <f>HYPERLINK("https://klasma.github.io/Logging_ESKILSTUNA/kartor/A 46353-2020.png", "A 46353-2020")</f>
        <v/>
      </c>
      <c r="V41">
        <f>HYPERLINK("https://klasma.github.io/Logging_ESKILSTUNA/klagomål/A 46353-2020.docx", "A 46353-2020")</f>
        <v/>
      </c>
      <c r="W41">
        <f>HYPERLINK("https://klasma.github.io/Logging_ESKILSTUNA/klagomålsmail/A 46353-2020.docx", "A 46353-2020")</f>
        <v/>
      </c>
      <c r="X41">
        <f>HYPERLINK("https://klasma.github.io/Logging_ESKILSTUNA/tillsyn/A 46353-2020.docx", "A 46353-2020")</f>
        <v/>
      </c>
      <c r="Y41">
        <f>HYPERLINK("https://klasma.github.io/Logging_ESKILSTUNA/tillsynsmail/A 46353-2020.docx", "A 46353-2020")</f>
        <v/>
      </c>
    </row>
    <row r="42" ht="15" customHeight="1">
      <c r="A42" t="inlineStr">
        <is>
          <t>A 56191-2020</t>
        </is>
      </c>
      <c r="B42" s="1" t="n">
        <v>44133</v>
      </c>
      <c r="C42" s="1" t="n">
        <v>45205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4.9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Svart trolldruva
Blåsippa</t>
        </is>
      </c>
      <c r="S42">
        <f>HYPERLINK("https://klasma.github.io/Logging_ESKILSTUNA/artfynd/A 56191-2020.xlsx", "A 56191-2020")</f>
        <v/>
      </c>
      <c r="T42">
        <f>HYPERLINK("https://klasma.github.io/Logging_ESKILSTUNA/kartor/A 56191-2020.png", "A 56191-2020")</f>
        <v/>
      </c>
      <c r="V42">
        <f>HYPERLINK("https://klasma.github.io/Logging_ESKILSTUNA/klagomål/A 56191-2020.docx", "A 56191-2020")</f>
        <v/>
      </c>
      <c r="W42">
        <f>HYPERLINK("https://klasma.github.io/Logging_ESKILSTUNA/klagomålsmail/A 56191-2020.docx", "A 56191-2020")</f>
        <v/>
      </c>
      <c r="X42">
        <f>HYPERLINK("https://klasma.github.io/Logging_ESKILSTUNA/tillsyn/A 56191-2020.docx", "A 56191-2020")</f>
        <v/>
      </c>
      <c r="Y42">
        <f>HYPERLINK("https://klasma.github.io/Logging_ESKILSTUNA/tillsynsmail/A 56191-2020.docx", "A 56191-2020")</f>
        <v/>
      </c>
    </row>
    <row r="43" ht="15" customHeight="1">
      <c r="A43" t="inlineStr">
        <is>
          <t>A 69068-2021</t>
        </is>
      </c>
      <c r="B43" s="1" t="n">
        <v>44530</v>
      </c>
      <c r="C43" s="1" t="n">
        <v>45205</v>
      </c>
      <c r="D43" t="inlineStr">
        <is>
          <t>SÖDERMANLANDS LÄN</t>
        </is>
      </c>
      <c r="E43" t="inlineStr">
        <is>
          <t>ESKILSTUNA</t>
        </is>
      </c>
      <c r="G43" t="n">
        <v>3.9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Mindre märgborre</t>
        </is>
      </c>
      <c r="S43">
        <f>HYPERLINK("https://klasma.github.io/Logging_ESKILSTUNA/artfynd/A 69068-2021.xlsx", "A 69068-2021")</f>
        <v/>
      </c>
      <c r="T43">
        <f>HYPERLINK("https://klasma.github.io/Logging_ESKILSTUNA/kartor/A 69068-2021.png", "A 69068-2021")</f>
        <v/>
      </c>
      <c r="V43">
        <f>HYPERLINK("https://klasma.github.io/Logging_ESKILSTUNA/klagomål/A 69068-2021.docx", "A 69068-2021")</f>
        <v/>
      </c>
      <c r="W43">
        <f>HYPERLINK("https://klasma.github.io/Logging_ESKILSTUNA/klagomålsmail/A 69068-2021.docx", "A 69068-2021")</f>
        <v/>
      </c>
      <c r="X43">
        <f>HYPERLINK("https://klasma.github.io/Logging_ESKILSTUNA/tillsyn/A 69068-2021.docx", "A 69068-2021")</f>
        <v/>
      </c>
      <c r="Y43">
        <f>HYPERLINK("https://klasma.github.io/Logging_ESKILSTUNA/tillsynsmail/A 69068-2021.docx", "A 69068-2021")</f>
        <v/>
      </c>
    </row>
    <row r="44" ht="15" customHeight="1">
      <c r="A44" t="inlineStr">
        <is>
          <t>A 71969-2021</t>
        </is>
      </c>
      <c r="B44" s="1" t="n">
        <v>44544</v>
      </c>
      <c r="C44" s="1" t="n">
        <v>45205</v>
      </c>
      <c r="D44" t="inlineStr">
        <is>
          <t>SÖDERMANLANDS LÄN</t>
        </is>
      </c>
      <c r="E44" t="inlineStr">
        <is>
          <t>ESKILSTUNA</t>
        </is>
      </c>
      <c r="G44" t="n">
        <v>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Fjällig taggsvamp s.str.
Blåsippa</t>
        </is>
      </c>
      <c r="S44">
        <f>HYPERLINK("https://klasma.github.io/Logging_ESKILSTUNA/artfynd/A 71969-2021.xlsx", "A 71969-2021")</f>
        <v/>
      </c>
      <c r="T44">
        <f>HYPERLINK("https://klasma.github.io/Logging_ESKILSTUNA/kartor/A 71969-2021.png", "A 71969-2021")</f>
        <v/>
      </c>
      <c r="V44">
        <f>HYPERLINK("https://klasma.github.io/Logging_ESKILSTUNA/klagomål/A 71969-2021.docx", "A 71969-2021")</f>
        <v/>
      </c>
      <c r="W44">
        <f>HYPERLINK("https://klasma.github.io/Logging_ESKILSTUNA/klagomålsmail/A 71969-2021.docx", "A 71969-2021")</f>
        <v/>
      </c>
      <c r="X44">
        <f>HYPERLINK("https://klasma.github.io/Logging_ESKILSTUNA/tillsyn/A 71969-2021.docx", "A 71969-2021")</f>
        <v/>
      </c>
      <c r="Y44">
        <f>HYPERLINK("https://klasma.github.io/Logging_ESKILSTUNA/tillsynsmail/A 71969-2021.docx", "A 71969-2021")</f>
        <v/>
      </c>
    </row>
    <row r="45" ht="15" customHeight="1">
      <c r="A45" t="inlineStr">
        <is>
          <t>A 22267-2022</t>
        </is>
      </c>
      <c r="B45" s="1" t="n">
        <v>44712</v>
      </c>
      <c r="C45" s="1" t="n">
        <v>45205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6.4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Lopplummer
Revlummer</t>
        </is>
      </c>
      <c r="S45">
        <f>HYPERLINK("https://klasma.github.io/Logging_ESKILSTUNA/artfynd/A 22267-2022.xlsx", "A 22267-2022")</f>
        <v/>
      </c>
      <c r="T45">
        <f>HYPERLINK("https://klasma.github.io/Logging_ESKILSTUNA/kartor/A 22267-2022.png", "A 22267-2022")</f>
        <v/>
      </c>
      <c r="V45">
        <f>HYPERLINK("https://klasma.github.io/Logging_ESKILSTUNA/klagomål/A 22267-2022.docx", "A 22267-2022")</f>
        <v/>
      </c>
      <c r="W45">
        <f>HYPERLINK("https://klasma.github.io/Logging_ESKILSTUNA/klagomålsmail/A 22267-2022.docx", "A 22267-2022")</f>
        <v/>
      </c>
      <c r="X45">
        <f>HYPERLINK("https://klasma.github.io/Logging_ESKILSTUNA/tillsyn/A 22267-2022.docx", "A 22267-2022")</f>
        <v/>
      </c>
      <c r="Y45">
        <f>HYPERLINK("https://klasma.github.io/Logging_ESKILSTUNA/tillsynsmail/A 22267-2022.docx", "A 22267-2022")</f>
        <v/>
      </c>
    </row>
    <row r="46" ht="15" customHeight="1">
      <c r="A46" t="inlineStr">
        <is>
          <t>A 22265-2022</t>
        </is>
      </c>
      <c r="B46" s="1" t="n">
        <v>44712</v>
      </c>
      <c r="C46" s="1" t="n">
        <v>45205</v>
      </c>
      <c r="D46" t="inlineStr">
        <is>
          <t>SÖDERMANLANDS LÄN</t>
        </is>
      </c>
      <c r="E46" t="inlineStr">
        <is>
          <t>ESKILSTUNA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Blåmossa</t>
        </is>
      </c>
      <c r="S46">
        <f>HYPERLINK("https://klasma.github.io/Logging_ESKILSTUNA/artfynd/A 22265-2022.xlsx", "A 22265-2022")</f>
        <v/>
      </c>
      <c r="T46">
        <f>HYPERLINK("https://klasma.github.io/Logging_ESKILSTUNA/kartor/A 22265-2022.png", "A 22265-2022")</f>
        <v/>
      </c>
      <c r="U46">
        <f>HYPERLINK("https://klasma.github.io/Logging_ESKILSTUNA/knärot/A 22265-2022.png", "A 22265-2022")</f>
        <v/>
      </c>
      <c r="V46">
        <f>HYPERLINK("https://klasma.github.io/Logging_ESKILSTUNA/klagomål/A 22265-2022.docx", "A 22265-2022")</f>
        <v/>
      </c>
      <c r="W46">
        <f>HYPERLINK("https://klasma.github.io/Logging_ESKILSTUNA/klagomålsmail/A 22265-2022.docx", "A 22265-2022")</f>
        <v/>
      </c>
      <c r="X46">
        <f>HYPERLINK("https://klasma.github.io/Logging_ESKILSTUNA/tillsyn/A 22265-2022.docx", "A 22265-2022")</f>
        <v/>
      </c>
      <c r="Y46">
        <f>HYPERLINK("https://klasma.github.io/Logging_ESKILSTUNA/tillsynsmail/A 22265-2022.docx", "A 22265-2022")</f>
        <v/>
      </c>
    </row>
    <row r="47" ht="15" customHeight="1">
      <c r="A47" t="inlineStr">
        <is>
          <t>A 571-2023</t>
        </is>
      </c>
      <c r="B47" s="1" t="n">
        <v>44930</v>
      </c>
      <c r="C47" s="1" t="n">
        <v>45205</v>
      </c>
      <c r="D47" t="inlineStr">
        <is>
          <t>SÖDERMANLANDS LÄN</t>
        </is>
      </c>
      <c r="E47" t="inlineStr">
        <is>
          <t>ESKILSTUNA</t>
        </is>
      </c>
      <c r="F47" t="inlineStr">
        <is>
          <t>Kyrkan</t>
        </is>
      </c>
      <c r="G47" t="n">
        <v>2.6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Spillkråka
Revlummer</t>
        </is>
      </c>
      <c r="S47">
        <f>HYPERLINK("https://klasma.github.io/Logging_ESKILSTUNA/artfynd/A 571-2023.xlsx", "A 571-2023")</f>
        <v/>
      </c>
      <c r="T47">
        <f>HYPERLINK("https://klasma.github.io/Logging_ESKILSTUNA/kartor/A 571-2023.png", "A 571-2023")</f>
        <v/>
      </c>
      <c r="V47">
        <f>HYPERLINK("https://klasma.github.io/Logging_ESKILSTUNA/klagomål/A 571-2023.docx", "A 571-2023")</f>
        <v/>
      </c>
      <c r="W47">
        <f>HYPERLINK("https://klasma.github.io/Logging_ESKILSTUNA/klagomålsmail/A 571-2023.docx", "A 571-2023")</f>
        <v/>
      </c>
      <c r="X47">
        <f>HYPERLINK("https://klasma.github.io/Logging_ESKILSTUNA/tillsyn/A 571-2023.docx", "A 571-2023")</f>
        <v/>
      </c>
      <c r="Y47">
        <f>HYPERLINK("https://klasma.github.io/Logging_ESKILSTUNA/tillsynsmail/A 571-2023.docx", "A 571-2023")</f>
        <v/>
      </c>
    </row>
    <row r="48" ht="15" customHeight="1">
      <c r="A48" t="inlineStr">
        <is>
          <t>A 9360-2019</t>
        </is>
      </c>
      <c r="B48" s="1" t="n">
        <v>43507</v>
      </c>
      <c r="C48" s="1" t="n">
        <v>45205</v>
      </c>
      <c r="D48" t="inlineStr">
        <is>
          <t>SÖDERMANLANDS LÄN</t>
        </is>
      </c>
      <c r="E48" t="inlineStr">
        <is>
          <t>ESKILSTUNA</t>
        </is>
      </c>
      <c r="G48" t="n">
        <v>2.7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HYPERLINK("https://klasma.github.io/Logging_ESKILSTUNA/artfynd/A 9360-2019.xlsx", "A 9360-2019")</f>
        <v/>
      </c>
      <c r="T48">
        <f>HYPERLINK("https://klasma.github.io/Logging_ESKILSTUNA/kartor/A 9360-2019.png", "A 9360-2019")</f>
        <v/>
      </c>
      <c r="V48">
        <f>HYPERLINK("https://klasma.github.io/Logging_ESKILSTUNA/klagomål/A 9360-2019.docx", "A 9360-2019")</f>
        <v/>
      </c>
      <c r="W48">
        <f>HYPERLINK("https://klasma.github.io/Logging_ESKILSTUNA/klagomålsmail/A 9360-2019.docx", "A 9360-2019")</f>
        <v/>
      </c>
      <c r="X48">
        <f>HYPERLINK("https://klasma.github.io/Logging_ESKILSTUNA/tillsyn/A 9360-2019.docx", "A 9360-2019")</f>
        <v/>
      </c>
      <c r="Y48">
        <f>HYPERLINK("https://klasma.github.io/Logging_ESKILSTUNA/tillsynsmail/A 9360-2019.docx", "A 9360-2019")</f>
        <v/>
      </c>
    </row>
    <row r="49" ht="15" customHeight="1">
      <c r="A49" t="inlineStr">
        <is>
          <t>A 23204-2019</t>
        </is>
      </c>
      <c r="B49" s="1" t="n">
        <v>43592</v>
      </c>
      <c r="C49" s="1" t="n">
        <v>45205</v>
      </c>
      <c r="D49" t="inlineStr">
        <is>
          <t>SÖDERMANLANDS LÄN</t>
        </is>
      </c>
      <c r="E49" t="inlineStr">
        <is>
          <t>ESKILSTUNA</t>
        </is>
      </c>
      <c r="F49" t="inlineStr">
        <is>
          <t>Sveaskog</t>
        </is>
      </c>
      <c r="G49" t="n">
        <v>3.6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Ängsskära</t>
        </is>
      </c>
      <c r="S49">
        <f>HYPERLINK("https://klasma.github.io/Logging_ESKILSTUNA/artfynd/A 23204-2019.xlsx", "A 23204-2019")</f>
        <v/>
      </c>
      <c r="T49">
        <f>HYPERLINK("https://klasma.github.io/Logging_ESKILSTUNA/kartor/A 23204-2019.png", "A 23204-2019")</f>
        <v/>
      </c>
      <c r="V49">
        <f>HYPERLINK("https://klasma.github.io/Logging_ESKILSTUNA/klagomål/A 23204-2019.docx", "A 23204-2019")</f>
        <v/>
      </c>
      <c r="W49">
        <f>HYPERLINK("https://klasma.github.io/Logging_ESKILSTUNA/klagomålsmail/A 23204-2019.docx", "A 23204-2019")</f>
        <v/>
      </c>
      <c r="X49">
        <f>HYPERLINK("https://klasma.github.io/Logging_ESKILSTUNA/tillsyn/A 23204-2019.docx", "A 23204-2019")</f>
        <v/>
      </c>
      <c r="Y49">
        <f>HYPERLINK("https://klasma.github.io/Logging_ESKILSTUNA/tillsynsmail/A 23204-2019.docx", "A 23204-2019")</f>
        <v/>
      </c>
    </row>
    <row r="50" ht="15" customHeight="1">
      <c r="A50" t="inlineStr">
        <is>
          <t>A 29459-2019</t>
        </is>
      </c>
      <c r="B50" s="1" t="n">
        <v>43629</v>
      </c>
      <c r="C50" s="1" t="n">
        <v>45205</v>
      </c>
      <c r="D50" t="inlineStr">
        <is>
          <t>SÖDERMANLANDS LÄN</t>
        </is>
      </c>
      <c r="E50" t="inlineStr">
        <is>
          <t>ESKILSTUNA</t>
        </is>
      </c>
      <c r="G50" t="n">
        <v>9.199999999999999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HYPERLINK("https://klasma.github.io/Logging_ESKILSTUNA/artfynd/A 29459-2019.xlsx", "A 29459-2019")</f>
        <v/>
      </c>
      <c r="T50">
        <f>HYPERLINK("https://klasma.github.io/Logging_ESKILSTUNA/kartor/A 29459-2019.png", "A 29459-2019")</f>
        <v/>
      </c>
      <c r="U50">
        <f>HYPERLINK("https://klasma.github.io/Logging_ESKILSTUNA/knärot/A 29459-2019.png", "A 29459-2019")</f>
        <v/>
      </c>
      <c r="V50">
        <f>HYPERLINK("https://klasma.github.io/Logging_ESKILSTUNA/klagomål/A 29459-2019.docx", "A 29459-2019")</f>
        <v/>
      </c>
      <c r="W50">
        <f>HYPERLINK("https://klasma.github.io/Logging_ESKILSTUNA/klagomålsmail/A 29459-2019.docx", "A 29459-2019")</f>
        <v/>
      </c>
      <c r="X50">
        <f>HYPERLINK("https://klasma.github.io/Logging_ESKILSTUNA/tillsyn/A 29459-2019.docx", "A 29459-2019")</f>
        <v/>
      </c>
      <c r="Y50">
        <f>HYPERLINK("https://klasma.github.io/Logging_ESKILSTUNA/tillsynsmail/A 29459-2019.docx", "A 29459-2019")</f>
        <v/>
      </c>
    </row>
    <row r="51" ht="15" customHeight="1">
      <c r="A51" t="inlineStr">
        <is>
          <t>A 50952-2019</t>
        </is>
      </c>
      <c r="B51" s="1" t="n">
        <v>43738</v>
      </c>
      <c r="C51" s="1" t="n">
        <v>45205</v>
      </c>
      <c r="D51" t="inlineStr">
        <is>
          <t>SÖDERMANLANDS LÄN</t>
        </is>
      </c>
      <c r="E51" t="inlineStr">
        <is>
          <t>ESKILSTUNA</t>
        </is>
      </c>
      <c r="G51" t="n">
        <v>3.5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HYPERLINK("https://klasma.github.io/Logging_ESKILSTUNA/artfynd/A 50952-2019.xlsx", "A 50952-2019")</f>
        <v/>
      </c>
      <c r="T51">
        <f>HYPERLINK("https://klasma.github.io/Logging_ESKILSTUNA/kartor/A 50952-2019.png", "A 50952-2019")</f>
        <v/>
      </c>
      <c r="V51">
        <f>HYPERLINK("https://klasma.github.io/Logging_ESKILSTUNA/klagomål/A 50952-2019.docx", "A 50952-2019")</f>
        <v/>
      </c>
      <c r="W51">
        <f>HYPERLINK("https://klasma.github.io/Logging_ESKILSTUNA/klagomålsmail/A 50952-2019.docx", "A 50952-2019")</f>
        <v/>
      </c>
      <c r="X51">
        <f>HYPERLINK("https://klasma.github.io/Logging_ESKILSTUNA/tillsyn/A 50952-2019.docx", "A 50952-2019")</f>
        <v/>
      </c>
      <c r="Y51">
        <f>HYPERLINK("https://klasma.github.io/Logging_ESKILSTUNA/tillsynsmail/A 50952-2019.docx", "A 50952-2019")</f>
        <v/>
      </c>
    </row>
    <row r="52" ht="15" customHeight="1">
      <c r="A52" t="inlineStr">
        <is>
          <t>A 51651-2019</t>
        </is>
      </c>
      <c r="B52" s="1" t="n">
        <v>43740</v>
      </c>
      <c r="C52" s="1" t="n">
        <v>45205</v>
      </c>
      <c r="D52" t="inlineStr">
        <is>
          <t>SÖDERMANLANDS LÄN</t>
        </is>
      </c>
      <c r="E52" t="inlineStr">
        <is>
          <t>ESKILSTUNA</t>
        </is>
      </c>
      <c r="G52" t="n">
        <v>6.5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HYPERLINK("https://klasma.github.io/Logging_ESKILSTUNA/artfynd/A 51651-2019.xlsx", "A 51651-2019")</f>
        <v/>
      </c>
      <c r="T52">
        <f>HYPERLINK("https://klasma.github.io/Logging_ESKILSTUNA/kartor/A 51651-2019.png", "A 51651-2019")</f>
        <v/>
      </c>
      <c r="V52">
        <f>HYPERLINK("https://klasma.github.io/Logging_ESKILSTUNA/klagomål/A 51651-2019.docx", "A 51651-2019")</f>
        <v/>
      </c>
      <c r="W52">
        <f>HYPERLINK("https://klasma.github.io/Logging_ESKILSTUNA/klagomålsmail/A 51651-2019.docx", "A 51651-2019")</f>
        <v/>
      </c>
      <c r="X52">
        <f>HYPERLINK("https://klasma.github.io/Logging_ESKILSTUNA/tillsyn/A 51651-2019.docx", "A 51651-2019")</f>
        <v/>
      </c>
      <c r="Y52">
        <f>HYPERLINK("https://klasma.github.io/Logging_ESKILSTUNA/tillsynsmail/A 51651-2019.docx", "A 51651-2019")</f>
        <v/>
      </c>
    </row>
    <row r="53" ht="15" customHeight="1">
      <c r="A53" t="inlineStr">
        <is>
          <t>A 54326-2019</t>
        </is>
      </c>
      <c r="B53" s="1" t="n">
        <v>43745</v>
      </c>
      <c r="C53" s="1" t="n">
        <v>45205</v>
      </c>
      <c r="D53" t="inlineStr">
        <is>
          <t>SÖDERMANLANDS LÄN</t>
        </is>
      </c>
      <c r="E53" t="inlineStr">
        <is>
          <t>ESKILSTUNA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Skogsalm</t>
        </is>
      </c>
      <c r="S53">
        <f>HYPERLINK("https://klasma.github.io/Logging_ESKILSTUNA/artfynd/A 54326-2019.xlsx", "A 54326-2019")</f>
        <v/>
      </c>
      <c r="T53">
        <f>HYPERLINK("https://klasma.github.io/Logging_ESKILSTUNA/kartor/A 54326-2019.png", "A 54326-2019")</f>
        <v/>
      </c>
      <c r="V53">
        <f>HYPERLINK("https://klasma.github.io/Logging_ESKILSTUNA/klagomål/A 54326-2019.docx", "A 54326-2019")</f>
        <v/>
      </c>
      <c r="W53">
        <f>HYPERLINK("https://klasma.github.io/Logging_ESKILSTUNA/klagomålsmail/A 54326-2019.docx", "A 54326-2019")</f>
        <v/>
      </c>
      <c r="X53">
        <f>HYPERLINK("https://klasma.github.io/Logging_ESKILSTUNA/tillsyn/A 54326-2019.docx", "A 54326-2019")</f>
        <v/>
      </c>
      <c r="Y53">
        <f>HYPERLINK("https://klasma.github.io/Logging_ESKILSTUNA/tillsynsmail/A 54326-2019.docx", "A 54326-2019")</f>
        <v/>
      </c>
    </row>
    <row r="54" ht="15" customHeight="1">
      <c r="A54" t="inlineStr">
        <is>
          <t>A 16877-2020</t>
        </is>
      </c>
      <c r="B54" s="1" t="n">
        <v>43921</v>
      </c>
      <c r="C54" s="1" t="n">
        <v>45205</v>
      </c>
      <c r="D54" t="inlineStr">
        <is>
          <t>SÖDERMANLANDS LÄN</t>
        </is>
      </c>
      <c r="E54" t="inlineStr">
        <is>
          <t>ESKILSTUNA</t>
        </is>
      </c>
      <c r="F54" t="inlineStr">
        <is>
          <t>Kyrkan</t>
        </is>
      </c>
      <c r="G54" t="n">
        <v>4.1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HYPERLINK("https://klasma.github.io/Logging_ESKILSTUNA/artfynd/A 16877-2020.xlsx", "A 16877-2020")</f>
        <v/>
      </c>
      <c r="T54">
        <f>HYPERLINK("https://klasma.github.io/Logging_ESKILSTUNA/kartor/A 16877-2020.png", "A 16877-2020")</f>
        <v/>
      </c>
      <c r="V54">
        <f>HYPERLINK("https://klasma.github.io/Logging_ESKILSTUNA/klagomål/A 16877-2020.docx", "A 16877-2020")</f>
        <v/>
      </c>
      <c r="W54">
        <f>HYPERLINK("https://klasma.github.io/Logging_ESKILSTUNA/klagomålsmail/A 16877-2020.docx", "A 16877-2020")</f>
        <v/>
      </c>
      <c r="X54">
        <f>HYPERLINK("https://klasma.github.io/Logging_ESKILSTUNA/tillsyn/A 16877-2020.docx", "A 16877-2020")</f>
        <v/>
      </c>
      <c r="Y54">
        <f>HYPERLINK("https://klasma.github.io/Logging_ESKILSTUNA/tillsynsmail/A 16877-2020.docx", "A 16877-2020")</f>
        <v/>
      </c>
    </row>
    <row r="55" ht="15" customHeight="1">
      <c r="A55" t="inlineStr">
        <is>
          <t>A 23201-2020</t>
        </is>
      </c>
      <c r="B55" s="1" t="n">
        <v>43964</v>
      </c>
      <c r="C55" s="1" t="n">
        <v>45205</v>
      </c>
      <c r="D55" t="inlineStr">
        <is>
          <t>SÖDERMANLANDS LÄN</t>
        </is>
      </c>
      <c r="E55" t="inlineStr">
        <is>
          <t>ESKILSTUNA</t>
        </is>
      </c>
      <c r="G55" t="n">
        <v>2.7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Krusfrö</t>
        </is>
      </c>
      <c r="S55">
        <f>HYPERLINK("https://klasma.github.io/Logging_ESKILSTUNA/artfynd/A 23201-2020.xlsx", "A 23201-2020")</f>
        <v/>
      </c>
      <c r="T55">
        <f>HYPERLINK("https://klasma.github.io/Logging_ESKILSTUNA/kartor/A 23201-2020.png", "A 23201-2020")</f>
        <v/>
      </c>
      <c r="V55">
        <f>HYPERLINK("https://klasma.github.io/Logging_ESKILSTUNA/klagomål/A 23201-2020.docx", "A 23201-2020")</f>
        <v/>
      </c>
      <c r="W55">
        <f>HYPERLINK("https://klasma.github.io/Logging_ESKILSTUNA/klagomålsmail/A 23201-2020.docx", "A 23201-2020")</f>
        <v/>
      </c>
      <c r="X55">
        <f>HYPERLINK("https://klasma.github.io/Logging_ESKILSTUNA/tillsyn/A 23201-2020.docx", "A 23201-2020")</f>
        <v/>
      </c>
      <c r="Y55">
        <f>HYPERLINK("https://klasma.github.io/Logging_ESKILSTUNA/tillsynsmail/A 23201-2020.docx", "A 23201-2020")</f>
        <v/>
      </c>
    </row>
    <row r="56" ht="15" customHeight="1">
      <c r="A56" t="inlineStr">
        <is>
          <t>A 38423-2020</t>
        </is>
      </c>
      <c r="B56" s="1" t="n">
        <v>44060</v>
      </c>
      <c r="C56" s="1" t="n">
        <v>45205</v>
      </c>
      <c r="D56" t="inlineStr">
        <is>
          <t>SÖDERMANLANDS LÄN</t>
        </is>
      </c>
      <c r="E56" t="inlineStr">
        <is>
          <t>ESKILSTUNA</t>
        </is>
      </c>
      <c r="G56" t="n">
        <v>1.1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HYPERLINK("https://klasma.github.io/Logging_ESKILSTUNA/artfynd/A 38423-2020.xlsx", "A 38423-2020")</f>
        <v/>
      </c>
      <c r="T56">
        <f>HYPERLINK("https://klasma.github.io/Logging_ESKILSTUNA/kartor/A 38423-2020.png", "A 38423-2020")</f>
        <v/>
      </c>
      <c r="V56">
        <f>HYPERLINK("https://klasma.github.io/Logging_ESKILSTUNA/klagomål/A 38423-2020.docx", "A 38423-2020")</f>
        <v/>
      </c>
      <c r="W56">
        <f>HYPERLINK("https://klasma.github.io/Logging_ESKILSTUNA/klagomålsmail/A 38423-2020.docx", "A 38423-2020")</f>
        <v/>
      </c>
      <c r="X56">
        <f>HYPERLINK("https://klasma.github.io/Logging_ESKILSTUNA/tillsyn/A 38423-2020.docx", "A 38423-2020")</f>
        <v/>
      </c>
      <c r="Y56">
        <f>HYPERLINK("https://klasma.github.io/Logging_ESKILSTUNA/tillsynsmail/A 38423-2020.docx", "A 38423-2020")</f>
        <v/>
      </c>
    </row>
    <row r="57" ht="15" customHeight="1">
      <c r="A57" t="inlineStr">
        <is>
          <t>A 56228-2020</t>
        </is>
      </c>
      <c r="B57" s="1" t="n">
        <v>44134</v>
      </c>
      <c r="C57" s="1" t="n">
        <v>45205</v>
      </c>
      <c r="D57" t="inlineStr">
        <is>
          <t>SÖDERMANLANDS LÄN</t>
        </is>
      </c>
      <c r="E57" t="inlineStr">
        <is>
          <t>ESKILSTUNA</t>
        </is>
      </c>
      <c r="G57" t="n">
        <v>2.7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HYPERLINK("https://klasma.github.io/Logging_ESKILSTUNA/artfynd/A 56228-2020.xlsx", "A 56228-2020")</f>
        <v/>
      </c>
      <c r="T57">
        <f>HYPERLINK("https://klasma.github.io/Logging_ESKILSTUNA/kartor/A 56228-2020.png", "A 56228-2020")</f>
        <v/>
      </c>
      <c r="V57">
        <f>HYPERLINK("https://klasma.github.io/Logging_ESKILSTUNA/klagomål/A 56228-2020.docx", "A 56228-2020")</f>
        <v/>
      </c>
      <c r="W57">
        <f>HYPERLINK("https://klasma.github.io/Logging_ESKILSTUNA/klagomålsmail/A 56228-2020.docx", "A 56228-2020")</f>
        <v/>
      </c>
      <c r="X57">
        <f>HYPERLINK("https://klasma.github.io/Logging_ESKILSTUNA/tillsyn/A 56228-2020.docx", "A 56228-2020")</f>
        <v/>
      </c>
      <c r="Y57">
        <f>HYPERLINK("https://klasma.github.io/Logging_ESKILSTUNA/tillsynsmail/A 56228-2020.docx", "A 56228-2020")</f>
        <v/>
      </c>
    </row>
    <row r="58" ht="15" customHeight="1">
      <c r="A58" t="inlineStr">
        <is>
          <t>A 33759-2021</t>
        </is>
      </c>
      <c r="B58" s="1" t="n">
        <v>44378</v>
      </c>
      <c r="C58" s="1" t="n">
        <v>45205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20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HYPERLINK("https://klasma.github.io/Logging_ESKILSTUNA/artfynd/A 33759-2021.xlsx", "A 33759-2021")</f>
        <v/>
      </c>
      <c r="T58">
        <f>HYPERLINK("https://klasma.github.io/Logging_ESKILSTUNA/kartor/A 33759-2021.png", "A 33759-2021")</f>
        <v/>
      </c>
      <c r="V58">
        <f>HYPERLINK("https://klasma.github.io/Logging_ESKILSTUNA/klagomål/A 33759-2021.docx", "A 33759-2021")</f>
        <v/>
      </c>
      <c r="W58">
        <f>HYPERLINK("https://klasma.github.io/Logging_ESKILSTUNA/klagomålsmail/A 33759-2021.docx", "A 33759-2021")</f>
        <v/>
      </c>
      <c r="X58">
        <f>HYPERLINK("https://klasma.github.io/Logging_ESKILSTUNA/tillsyn/A 33759-2021.docx", "A 33759-2021")</f>
        <v/>
      </c>
      <c r="Y58">
        <f>HYPERLINK("https://klasma.github.io/Logging_ESKILSTUNA/tillsynsmail/A 33759-2021.docx", "A 33759-2021")</f>
        <v/>
      </c>
    </row>
    <row r="59" ht="15" customHeight="1">
      <c r="A59" t="inlineStr">
        <is>
          <t>A 53206-2021</t>
        </is>
      </c>
      <c r="B59" s="1" t="n">
        <v>44468</v>
      </c>
      <c r="C59" s="1" t="n">
        <v>45205</v>
      </c>
      <c r="D59" t="inlineStr">
        <is>
          <t>SÖDERMANLANDS LÄN</t>
        </is>
      </c>
      <c r="E59" t="inlineStr">
        <is>
          <t>ESKILSTUNA</t>
        </is>
      </c>
      <c r="G59" t="n">
        <v>12.8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Zontaggsvamp</t>
        </is>
      </c>
      <c r="S59">
        <f>HYPERLINK("https://klasma.github.io/Logging_ESKILSTUNA/artfynd/A 53206-2021.xlsx", "A 53206-2021")</f>
        <v/>
      </c>
      <c r="T59">
        <f>HYPERLINK("https://klasma.github.io/Logging_ESKILSTUNA/kartor/A 53206-2021.png", "A 53206-2021")</f>
        <v/>
      </c>
      <c r="V59">
        <f>HYPERLINK("https://klasma.github.io/Logging_ESKILSTUNA/klagomål/A 53206-2021.docx", "A 53206-2021")</f>
        <v/>
      </c>
      <c r="W59">
        <f>HYPERLINK("https://klasma.github.io/Logging_ESKILSTUNA/klagomålsmail/A 53206-2021.docx", "A 53206-2021")</f>
        <v/>
      </c>
      <c r="X59">
        <f>HYPERLINK("https://klasma.github.io/Logging_ESKILSTUNA/tillsyn/A 53206-2021.docx", "A 53206-2021")</f>
        <v/>
      </c>
      <c r="Y59">
        <f>HYPERLINK("https://klasma.github.io/Logging_ESKILSTUNA/tillsynsmail/A 53206-2021.docx", "A 53206-2021")</f>
        <v/>
      </c>
    </row>
    <row r="60" ht="15" customHeight="1">
      <c r="A60" t="inlineStr">
        <is>
          <t>A 62141-2021</t>
        </is>
      </c>
      <c r="B60" s="1" t="n">
        <v>44502</v>
      </c>
      <c r="C60" s="1" t="n">
        <v>45205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HYPERLINK("https://klasma.github.io/Logging_ESKILSTUNA/artfynd/A 62141-2021.xlsx", "A 62141-2021")</f>
        <v/>
      </c>
      <c r="T60">
        <f>HYPERLINK("https://klasma.github.io/Logging_ESKILSTUNA/kartor/A 62141-2021.png", "A 62141-2021")</f>
        <v/>
      </c>
      <c r="V60">
        <f>HYPERLINK("https://klasma.github.io/Logging_ESKILSTUNA/klagomål/A 62141-2021.docx", "A 62141-2021")</f>
        <v/>
      </c>
      <c r="W60">
        <f>HYPERLINK("https://klasma.github.io/Logging_ESKILSTUNA/klagomålsmail/A 62141-2021.docx", "A 62141-2021")</f>
        <v/>
      </c>
      <c r="X60">
        <f>HYPERLINK("https://klasma.github.io/Logging_ESKILSTUNA/tillsyn/A 62141-2021.docx", "A 62141-2021")</f>
        <v/>
      </c>
      <c r="Y60">
        <f>HYPERLINK("https://klasma.github.io/Logging_ESKILSTUNA/tillsynsmail/A 62141-2021.docx", "A 62141-2021")</f>
        <v/>
      </c>
    </row>
    <row r="61" ht="15" customHeight="1">
      <c r="A61" t="inlineStr">
        <is>
          <t>A 65380-2021</t>
        </is>
      </c>
      <c r="B61" s="1" t="n">
        <v>44515</v>
      </c>
      <c r="C61" s="1" t="n">
        <v>45205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Kyrkan</t>
        </is>
      </c>
      <c r="G61" t="n">
        <v>5.4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HYPERLINK("https://klasma.github.io/Logging_ESKILSTUNA/artfynd/A 65380-2021.xlsx", "A 65380-2021")</f>
        <v/>
      </c>
      <c r="T61">
        <f>HYPERLINK("https://klasma.github.io/Logging_ESKILSTUNA/kartor/A 65380-2021.png", "A 65380-2021")</f>
        <v/>
      </c>
      <c r="V61">
        <f>HYPERLINK("https://klasma.github.io/Logging_ESKILSTUNA/klagomål/A 65380-2021.docx", "A 65380-2021")</f>
        <v/>
      </c>
      <c r="W61">
        <f>HYPERLINK("https://klasma.github.io/Logging_ESKILSTUNA/klagomålsmail/A 65380-2021.docx", "A 65380-2021")</f>
        <v/>
      </c>
      <c r="X61">
        <f>HYPERLINK("https://klasma.github.io/Logging_ESKILSTUNA/tillsyn/A 65380-2021.docx", "A 65380-2021")</f>
        <v/>
      </c>
      <c r="Y61">
        <f>HYPERLINK("https://klasma.github.io/Logging_ESKILSTUNA/tillsynsmail/A 65380-2021.docx", "A 65380-2021")</f>
        <v/>
      </c>
    </row>
    <row r="62" ht="15" customHeight="1">
      <c r="A62" t="inlineStr">
        <is>
          <t>A 3162-2022</t>
        </is>
      </c>
      <c r="B62" s="1" t="n">
        <v>44582</v>
      </c>
      <c r="C62" s="1" t="n">
        <v>45205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Kommuner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HYPERLINK("https://klasma.github.io/Logging_ESKILSTUNA/artfynd/A 3162-2022.xlsx", "A 3162-2022")</f>
        <v/>
      </c>
      <c r="T62">
        <f>HYPERLINK("https://klasma.github.io/Logging_ESKILSTUNA/kartor/A 3162-2022.png", "A 3162-2022")</f>
        <v/>
      </c>
      <c r="V62">
        <f>HYPERLINK("https://klasma.github.io/Logging_ESKILSTUNA/klagomål/A 3162-2022.docx", "A 3162-2022")</f>
        <v/>
      </c>
      <c r="W62">
        <f>HYPERLINK("https://klasma.github.io/Logging_ESKILSTUNA/klagomålsmail/A 3162-2022.docx", "A 3162-2022")</f>
        <v/>
      </c>
      <c r="X62">
        <f>HYPERLINK("https://klasma.github.io/Logging_ESKILSTUNA/tillsyn/A 3162-2022.docx", "A 3162-2022")</f>
        <v/>
      </c>
      <c r="Y62">
        <f>HYPERLINK("https://klasma.github.io/Logging_ESKILSTUNA/tillsynsmail/A 3162-2022.docx", "A 3162-2022")</f>
        <v/>
      </c>
    </row>
    <row r="63" ht="15" customHeight="1">
      <c r="A63" t="inlineStr">
        <is>
          <t>A 15960-2022</t>
        </is>
      </c>
      <c r="B63" s="1" t="n">
        <v>44664</v>
      </c>
      <c r="C63" s="1" t="n">
        <v>45205</v>
      </c>
      <c r="D63" t="inlineStr">
        <is>
          <t>SÖDERMANLANDS LÄN</t>
        </is>
      </c>
      <c r="E63" t="inlineStr">
        <is>
          <t>ESKILSTUNA</t>
        </is>
      </c>
      <c r="F63" t="inlineStr">
        <is>
          <t>Allmännings- och besparingsskogar</t>
        </is>
      </c>
      <c r="G63" t="n">
        <v>11.9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Scharlakansvårskål agg.</t>
        </is>
      </c>
      <c r="S63">
        <f>HYPERLINK("https://klasma.github.io/Logging_ESKILSTUNA/artfynd/A 15960-2022.xlsx", "A 15960-2022")</f>
        <v/>
      </c>
      <c r="T63">
        <f>HYPERLINK("https://klasma.github.io/Logging_ESKILSTUNA/kartor/A 15960-2022.png", "A 15960-2022")</f>
        <v/>
      </c>
      <c r="V63">
        <f>HYPERLINK("https://klasma.github.io/Logging_ESKILSTUNA/klagomål/A 15960-2022.docx", "A 15960-2022")</f>
        <v/>
      </c>
      <c r="W63">
        <f>HYPERLINK("https://klasma.github.io/Logging_ESKILSTUNA/klagomålsmail/A 15960-2022.docx", "A 15960-2022")</f>
        <v/>
      </c>
      <c r="X63">
        <f>HYPERLINK("https://klasma.github.io/Logging_ESKILSTUNA/tillsyn/A 15960-2022.docx", "A 15960-2022")</f>
        <v/>
      </c>
      <c r="Y63">
        <f>HYPERLINK("https://klasma.github.io/Logging_ESKILSTUNA/tillsynsmail/A 15960-2022.docx", "A 15960-2022")</f>
        <v/>
      </c>
    </row>
    <row r="64" ht="15" customHeight="1">
      <c r="A64" t="inlineStr">
        <is>
          <t>A 36155-2022</t>
        </is>
      </c>
      <c r="B64" s="1" t="n">
        <v>44803</v>
      </c>
      <c r="C64" s="1" t="n">
        <v>45205</v>
      </c>
      <c r="D64" t="inlineStr">
        <is>
          <t>SÖDERMANLANDS LÄN</t>
        </is>
      </c>
      <c r="E64" t="inlineStr">
        <is>
          <t>ESKILSTUNA</t>
        </is>
      </c>
      <c r="G64" t="n">
        <v>5.2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36155-2022.xlsx", "A 36155-2022")</f>
        <v/>
      </c>
      <c r="T64">
        <f>HYPERLINK("https://klasma.github.io/Logging_ESKILSTUNA/kartor/A 36155-2022.png", "A 36155-2022")</f>
        <v/>
      </c>
      <c r="V64">
        <f>HYPERLINK("https://klasma.github.io/Logging_ESKILSTUNA/klagomål/A 36155-2022.docx", "A 36155-2022")</f>
        <v/>
      </c>
      <c r="W64">
        <f>HYPERLINK("https://klasma.github.io/Logging_ESKILSTUNA/klagomålsmail/A 36155-2022.docx", "A 36155-2022")</f>
        <v/>
      </c>
      <c r="X64">
        <f>HYPERLINK("https://klasma.github.io/Logging_ESKILSTUNA/tillsyn/A 36155-2022.docx", "A 36155-2022")</f>
        <v/>
      </c>
      <c r="Y64">
        <f>HYPERLINK("https://klasma.github.io/Logging_ESKILSTUNA/tillsynsmail/A 36155-2022.docx", "A 36155-2022")</f>
        <v/>
      </c>
    </row>
    <row r="65" ht="15" customHeight="1">
      <c r="A65" t="inlineStr">
        <is>
          <t>A 36140-2022</t>
        </is>
      </c>
      <c r="B65" s="1" t="n">
        <v>44803</v>
      </c>
      <c r="C65" s="1" t="n">
        <v>45205</v>
      </c>
      <c r="D65" t="inlineStr">
        <is>
          <t>SÖDERMANLANDS LÄN</t>
        </is>
      </c>
      <c r="E65" t="inlineStr">
        <is>
          <t>ESKILSTUNA</t>
        </is>
      </c>
      <c r="G65" t="n">
        <v>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HYPERLINK("https://klasma.github.io/Logging_ESKILSTUNA/artfynd/A 36140-2022.xlsx", "A 36140-2022")</f>
        <v/>
      </c>
      <c r="T65">
        <f>HYPERLINK("https://klasma.github.io/Logging_ESKILSTUNA/kartor/A 36140-2022.png", "A 36140-2022")</f>
        <v/>
      </c>
      <c r="V65">
        <f>HYPERLINK("https://klasma.github.io/Logging_ESKILSTUNA/klagomål/A 36140-2022.docx", "A 36140-2022")</f>
        <v/>
      </c>
      <c r="W65">
        <f>HYPERLINK("https://klasma.github.io/Logging_ESKILSTUNA/klagomålsmail/A 36140-2022.docx", "A 36140-2022")</f>
        <v/>
      </c>
      <c r="X65">
        <f>HYPERLINK("https://klasma.github.io/Logging_ESKILSTUNA/tillsyn/A 36140-2022.docx", "A 36140-2022")</f>
        <v/>
      </c>
      <c r="Y65">
        <f>HYPERLINK("https://klasma.github.io/Logging_ESKILSTUNA/tillsynsmail/A 36140-2022.docx", "A 36140-2022")</f>
        <v/>
      </c>
    </row>
    <row r="66" ht="15" customHeight="1">
      <c r="A66" t="inlineStr">
        <is>
          <t>A 43547-2022</t>
        </is>
      </c>
      <c r="B66" s="1" t="n">
        <v>44834</v>
      </c>
      <c r="C66" s="1" t="n">
        <v>45205</v>
      </c>
      <c r="D66" t="inlineStr">
        <is>
          <t>SÖDERMANLANDS LÄN</t>
        </is>
      </c>
      <c r="E66" t="inlineStr">
        <is>
          <t>ESKILSTUNA</t>
        </is>
      </c>
      <c r="G66" t="n">
        <v>3.2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43547-2022.xlsx", "A 43547-2022")</f>
        <v/>
      </c>
      <c r="T66">
        <f>HYPERLINK("https://klasma.github.io/Logging_ESKILSTUNA/kartor/A 43547-2022.png", "A 43547-2022")</f>
        <v/>
      </c>
      <c r="U66">
        <f>HYPERLINK("https://klasma.github.io/Logging_ESKILSTUNA/knärot/A 43547-2022.png", "A 43547-2022")</f>
        <v/>
      </c>
      <c r="V66">
        <f>HYPERLINK("https://klasma.github.io/Logging_ESKILSTUNA/klagomål/A 43547-2022.docx", "A 43547-2022")</f>
        <v/>
      </c>
      <c r="W66">
        <f>HYPERLINK("https://klasma.github.io/Logging_ESKILSTUNA/klagomålsmail/A 43547-2022.docx", "A 43547-2022")</f>
        <v/>
      </c>
      <c r="X66">
        <f>HYPERLINK("https://klasma.github.io/Logging_ESKILSTUNA/tillsyn/A 43547-2022.docx", "A 43547-2022")</f>
        <v/>
      </c>
      <c r="Y66">
        <f>HYPERLINK("https://klasma.github.io/Logging_ESKILSTUNA/tillsynsmail/A 43547-2022.docx", "A 43547-2022")</f>
        <v/>
      </c>
    </row>
    <row r="67" ht="15" customHeight="1">
      <c r="A67" t="inlineStr">
        <is>
          <t>A 44664-2022</t>
        </is>
      </c>
      <c r="B67" s="1" t="n">
        <v>44840</v>
      </c>
      <c r="C67" s="1" t="n">
        <v>45205</v>
      </c>
      <c r="D67" t="inlineStr">
        <is>
          <t>SÖDERMANLANDS LÄN</t>
        </is>
      </c>
      <c r="E67" t="inlineStr">
        <is>
          <t>ESKILSTUNA</t>
        </is>
      </c>
      <c r="G67" t="n">
        <v>20.8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HYPERLINK("https://klasma.github.io/Logging_ESKILSTUNA/artfynd/A 44664-2022.xlsx", "A 44664-2022")</f>
        <v/>
      </c>
      <c r="T67">
        <f>HYPERLINK("https://klasma.github.io/Logging_ESKILSTUNA/kartor/A 44664-2022.png", "A 44664-2022")</f>
        <v/>
      </c>
      <c r="U67">
        <f>HYPERLINK("https://klasma.github.io/Logging_ESKILSTUNA/knärot/A 44664-2022.png", "A 44664-2022")</f>
        <v/>
      </c>
      <c r="V67">
        <f>HYPERLINK("https://klasma.github.io/Logging_ESKILSTUNA/klagomål/A 44664-2022.docx", "A 44664-2022")</f>
        <v/>
      </c>
      <c r="W67">
        <f>HYPERLINK("https://klasma.github.io/Logging_ESKILSTUNA/klagomålsmail/A 44664-2022.docx", "A 44664-2022")</f>
        <v/>
      </c>
      <c r="X67">
        <f>HYPERLINK("https://klasma.github.io/Logging_ESKILSTUNA/tillsyn/A 44664-2022.docx", "A 44664-2022")</f>
        <v/>
      </c>
      <c r="Y67">
        <f>HYPERLINK("https://klasma.github.io/Logging_ESKILSTUNA/tillsynsmail/A 44664-2022.docx", "A 44664-2022")</f>
        <v/>
      </c>
    </row>
    <row r="68" ht="15" customHeight="1">
      <c r="A68" t="inlineStr">
        <is>
          <t>A 47648-2022</t>
        </is>
      </c>
      <c r="B68" s="1" t="n">
        <v>44854</v>
      </c>
      <c r="C68" s="1" t="n">
        <v>45205</v>
      </c>
      <c r="D68" t="inlineStr">
        <is>
          <t>SÖDERMANLANDS LÄN</t>
        </is>
      </c>
      <c r="E68" t="inlineStr">
        <is>
          <t>ESKILSTUNA</t>
        </is>
      </c>
      <c r="G68" t="n">
        <v>1.8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HYPERLINK("https://klasma.github.io/Logging_ESKILSTUNA/artfynd/A 47648-2022.xlsx", "A 47648-2022")</f>
        <v/>
      </c>
      <c r="T68">
        <f>HYPERLINK("https://klasma.github.io/Logging_ESKILSTUNA/kartor/A 47648-2022.png", "A 47648-2022")</f>
        <v/>
      </c>
      <c r="V68">
        <f>HYPERLINK("https://klasma.github.io/Logging_ESKILSTUNA/klagomål/A 47648-2022.docx", "A 47648-2022")</f>
        <v/>
      </c>
      <c r="W68">
        <f>HYPERLINK("https://klasma.github.io/Logging_ESKILSTUNA/klagomålsmail/A 47648-2022.docx", "A 47648-2022")</f>
        <v/>
      </c>
      <c r="X68">
        <f>HYPERLINK("https://klasma.github.io/Logging_ESKILSTUNA/tillsyn/A 47648-2022.docx", "A 47648-2022")</f>
        <v/>
      </c>
      <c r="Y68">
        <f>HYPERLINK("https://klasma.github.io/Logging_ESKILSTUNA/tillsynsmail/A 47648-2022.docx", "A 47648-2022")</f>
        <v/>
      </c>
    </row>
    <row r="69" ht="15" customHeight="1">
      <c r="A69" t="inlineStr">
        <is>
          <t>A 61987-2022</t>
        </is>
      </c>
      <c r="B69" s="1" t="n">
        <v>44918</v>
      </c>
      <c r="C69" s="1" t="n">
        <v>45205</v>
      </c>
      <c r="D69" t="inlineStr">
        <is>
          <t>SÖDERMANLANDS LÄN</t>
        </is>
      </c>
      <c r="E69" t="inlineStr">
        <is>
          <t>ESKILSTUNA</t>
        </is>
      </c>
      <c r="G69" t="n">
        <v>4.3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Svinrot</t>
        </is>
      </c>
      <c r="S69">
        <f>HYPERLINK("https://klasma.github.io/Logging_ESKILSTUNA/artfynd/A 61987-2022.xlsx", "A 61987-2022")</f>
        <v/>
      </c>
      <c r="T69">
        <f>HYPERLINK("https://klasma.github.io/Logging_ESKILSTUNA/kartor/A 61987-2022.png", "A 61987-2022")</f>
        <v/>
      </c>
      <c r="V69">
        <f>HYPERLINK("https://klasma.github.io/Logging_ESKILSTUNA/klagomål/A 61987-2022.docx", "A 61987-2022")</f>
        <v/>
      </c>
      <c r="W69">
        <f>HYPERLINK("https://klasma.github.io/Logging_ESKILSTUNA/klagomålsmail/A 61987-2022.docx", "A 61987-2022")</f>
        <v/>
      </c>
      <c r="X69">
        <f>HYPERLINK("https://klasma.github.io/Logging_ESKILSTUNA/tillsyn/A 61987-2022.docx", "A 61987-2022")</f>
        <v/>
      </c>
      <c r="Y69">
        <f>HYPERLINK("https://klasma.github.io/Logging_ESKILSTUNA/tillsynsmail/A 61987-2022.docx", "A 61987-2022")</f>
        <v/>
      </c>
    </row>
    <row r="70" ht="15" customHeight="1">
      <c r="A70" t="inlineStr">
        <is>
          <t>A 14327-2023</t>
        </is>
      </c>
      <c r="B70" s="1" t="n">
        <v>45012</v>
      </c>
      <c r="C70" s="1" t="n">
        <v>45205</v>
      </c>
      <c r="D70" t="inlineStr">
        <is>
          <t>SÖDERMANLANDS LÄN</t>
        </is>
      </c>
      <c r="E70" t="inlineStr">
        <is>
          <t>ESKILSTUNA</t>
        </is>
      </c>
      <c r="F70" t="inlineStr">
        <is>
          <t>Kommuner</t>
        </is>
      </c>
      <c r="G70" t="n">
        <v>2.6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HYPERLINK("https://klasma.github.io/Logging_ESKILSTUNA/artfynd/A 14327-2023.xlsx", "A 14327-2023")</f>
        <v/>
      </c>
      <c r="T70">
        <f>HYPERLINK("https://klasma.github.io/Logging_ESKILSTUNA/kartor/A 14327-2023.png", "A 14327-2023")</f>
        <v/>
      </c>
      <c r="V70">
        <f>HYPERLINK("https://klasma.github.io/Logging_ESKILSTUNA/klagomål/A 14327-2023.docx", "A 14327-2023")</f>
        <v/>
      </c>
      <c r="W70">
        <f>HYPERLINK("https://klasma.github.io/Logging_ESKILSTUNA/klagomålsmail/A 14327-2023.docx", "A 14327-2023")</f>
        <v/>
      </c>
      <c r="X70">
        <f>HYPERLINK("https://klasma.github.io/Logging_ESKILSTUNA/tillsyn/A 14327-2023.docx", "A 14327-2023")</f>
        <v/>
      </c>
      <c r="Y70">
        <f>HYPERLINK("https://klasma.github.io/Logging_ESKILSTUNA/tillsynsmail/A 14327-2023.docx", "A 14327-2023")</f>
        <v/>
      </c>
    </row>
    <row r="71" ht="15" customHeight="1">
      <c r="A71" t="inlineStr">
        <is>
          <t>A 19627-2023</t>
        </is>
      </c>
      <c r="B71" s="1" t="n">
        <v>45050</v>
      </c>
      <c r="C71" s="1" t="n">
        <v>45205</v>
      </c>
      <c r="D71" t="inlineStr">
        <is>
          <t>SÖDERMANLANDS LÄN</t>
        </is>
      </c>
      <c r="E71" t="inlineStr">
        <is>
          <t>ESKILSTUNA</t>
        </is>
      </c>
      <c r="F71" t="inlineStr">
        <is>
          <t>Allmännings- och besparingsskogar</t>
        </is>
      </c>
      <c r="G71" t="n">
        <v>2.7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HYPERLINK("https://klasma.github.io/Logging_ESKILSTUNA/artfynd/A 19627-2023.xlsx", "A 19627-2023")</f>
        <v/>
      </c>
      <c r="T71">
        <f>HYPERLINK("https://klasma.github.io/Logging_ESKILSTUNA/kartor/A 19627-2023.png", "A 19627-2023")</f>
        <v/>
      </c>
      <c r="V71">
        <f>HYPERLINK("https://klasma.github.io/Logging_ESKILSTUNA/klagomål/A 19627-2023.docx", "A 19627-2023")</f>
        <v/>
      </c>
      <c r="W71">
        <f>HYPERLINK("https://klasma.github.io/Logging_ESKILSTUNA/klagomålsmail/A 19627-2023.docx", "A 19627-2023")</f>
        <v/>
      </c>
      <c r="X71">
        <f>HYPERLINK("https://klasma.github.io/Logging_ESKILSTUNA/tillsyn/A 19627-2023.docx", "A 19627-2023")</f>
        <v/>
      </c>
      <c r="Y71">
        <f>HYPERLINK("https://klasma.github.io/Logging_ESKILSTUNA/tillsynsmail/A 19627-2023.docx", "A 19627-2023")</f>
        <v/>
      </c>
    </row>
    <row r="72" ht="15" customHeight="1">
      <c r="A72" t="inlineStr">
        <is>
          <t>A 21734-2023</t>
        </is>
      </c>
      <c r="B72" s="1" t="n">
        <v>45063</v>
      </c>
      <c r="C72" s="1" t="n">
        <v>45205</v>
      </c>
      <c r="D72" t="inlineStr">
        <is>
          <t>SÖDERMANLANDS LÄN</t>
        </is>
      </c>
      <c r="E72" t="inlineStr">
        <is>
          <t>ESKILSTUNA</t>
        </is>
      </c>
      <c r="G72" t="n">
        <v>10.5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Kryddspindling</t>
        </is>
      </c>
      <c r="S72">
        <f>HYPERLINK("https://klasma.github.io/Logging_ESKILSTUNA/artfynd/A 21734-2023.xlsx", "A 21734-2023")</f>
        <v/>
      </c>
      <c r="T72">
        <f>HYPERLINK("https://klasma.github.io/Logging_ESKILSTUNA/kartor/A 21734-2023.png", "A 21734-2023")</f>
        <v/>
      </c>
      <c r="V72">
        <f>HYPERLINK("https://klasma.github.io/Logging_ESKILSTUNA/klagomål/A 21734-2023.docx", "A 21734-2023")</f>
        <v/>
      </c>
      <c r="W72">
        <f>HYPERLINK("https://klasma.github.io/Logging_ESKILSTUNA/klagomålsmail/A 21734-2023.docx", "A 21734-2023")</f>
        <v/>
      </c>
      <c r="X72">
        <f>HYPERLINK("https://klasma.github.io/Logging_ESKILSTUNA/tillsyn/A 21734-2023.docx", "A 21734-2023")</f>
        <v/>
      </c>
      <c r="Y72">
        <f>HYPERLINK("https://klasma.github.io/Logging_ESKILSTUNA/tillsynsmail/A 21734-2023.docx", "A 21734-2023")</f>
        <v/>
      </c>
    </row>
    <row r="73" ht="15" customHeight="1">
      <c r="A73" t="inlineStr">
        <is>
          <t>A 23637-2023</t>
        </is>
      </c>
      <c r="B73" s="1" t="n">
        <v>45077</v>
      </c>
      <c r="C73" s="1" t="n">
        <v>45205</v>
      </c>
      <c r="D73" t="inlineStr">
        <is>
          <t>SÖDERMANLANDS LÄN</t>
        </is>
      </c>
      <c r="E73" t="inlineStr">
        <is>
          <t>ESKILSTUNA</t>
        </is>
      </c>
      <c r="G73" t="n">
        <v>15.8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fingersvamp</t>
        </is>
      </c>
      <c r="S73">
        <f>HYPERLINK("https://klasma.github.io/Logging_ESKILSTUNA/artfynd/A 23637-2023.xlsx", "A 23637-2023")</f>
        <v/>
      </c>
      <c r="T73">
        <f>HYPERLINK("https://klasma.github.io/Logging_ESKILSTUNA/kartor/A 23637-2023.png", "A 23637-2023")</f>
        <v/>
      </c>
      <c r="V73">
        <f>HYPERLINK("https://klasma.github.io/Logging_ESKILSTUNA/klagomål/A 23637-2023.docx", "A 23637-2023")</f>
        <v/>
      </c>
      <c r="W73">
        <f>HYPERLINK("https://klasma.github.io/Logging_ESKILSTUNA/klagomålsmail/A 23637-2023.docx", "A 23637-2023")</f>
        <v/>
      </c>
      <c r="X73">
        <f>HYPERLINK("https://klasma.github.io/Logging_ESKILSTUNA/tillsyn/A 23637-2023.docx", "A 23637-2023")</f>
        <v/>
      </c>
      <c r="Y73">
        <f>HYPERLINK("https://klasma.github.io/Logging_ESKILSTUNA/tillsynsmail/A 23637-2023.docx", "A 23637-2023")</f>
        <v/>
      </c>
    </row>
    <row r="74" ht="15" customHeight="1">
      <c r="A74" t="inlineStr">
        <is>
          <t>A 25122-2023</t>
        </is>
      </c>
      <c r="B74" s="1" t="n">
        <v>45086</v>
      </c>
      <c r="C74" s="1" t="n">
        <v>45205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7.5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HYPERLINK("https://klasma.github.io/Logging_ESKILSTUNA/artfynd/A 25122-2023.xlsx", "A 25122-2023")</f>
        <v/>
      </c>
      <c r="T74">
        <f>HYPERLINK("https://klasma.github.io/Logging_ESKILSTUNA/kartor/A 25122-2023.png", "A 25122-2023")</f>
        <v/>
      </c>
      <c r="V74">
        <f>HYPERLINK("https://klasma.github.io/Logging_ESKILSTUNA/klagomål/A 25122-2023.docx", "A 25122-2023")</f>
        <v/>
      </c>
      <c r="W74">
        <f>HYPERLINK("https://klasma.github.io/Logging_ESKILSTUNA/klagomålsmail/A 25122-2023.docx", "A 25122-2023")</f>
        <v/>
      </c>
      <c r="X74">
        <f>HYPERLINK("https://klasma.github.io/Logging_ESKILSTUNA/tillsyn/A 25122-2023.docx", "A 25122-2023")</f>
        <v/>
      </c>
      <c r="Y74">
        <f>HYPERLINK("https://klasma.github.io/Logging_ESKILSTUNA/tillsynsmail/A 25122-2023.docx", "A 25122-2023")</f>
        <v/>
      </c>
    </row>
    <row r="75" ht="15" customHeight="1">
      <c r="A75" t="inlineStr">
        <is>
          <t>A 26114-2023</t>
        </is>
      </c>
      <c r="B75" s="1" t="n">
        <v>45091</v>
      </c>
      <c r="C75" s="1" t="n">
        <v>45205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26114-2023.xlsx", "A 26114-2023")</f>
        <v/>
      </c>
      <c r="T75">
        <f>HYPERLINK("https://klasma.github.io/Logging_ESKILSTUNA/kartor/A 26114-2023.png", "A 26114-2023")</f>
        <v/>
      </c>
      <c r="V75">
        <f>HYPERLINK("https://klasma.github.io/Logging_ESKILSTUNA/klagomål/A 26114-2023.docx", "A 26114-2023")</f>
        <v/>
      </c>
      <c r="W75">
        <f>HYPERLINK("https://klasma.github.io/Logging_ESKILSTUNA/klagomålsmail/A 26114-2023.docx", "A 26114-2023")</f>
        <v/>
      </c>
      <c r="X75">
        <f>HYPERLINK("https://klasma.github.io/Logging_ESKILSTUNA/tillsyn/A 26114-2023.docx", "A 26114-2023")</f>
        <v/>
      </c>
      <c r="Y75">
        <f>HYPERLINK("https://klasma.github.io/Logging_ESKILSTUNA/tillsynsmail/A 26114-2023.docx", "A 26114-2023")</f>
        <v/>
      </c>
    </row>
    <row r="76" ht="15" customHeight="1">
      <c r="A76" t="inlineStr">
        <is>
          <t>A 26133-2023</t>
        </is>
      </c>
      <c r="B76" s="1" t="n">
        <v>45091</v>
      </c>
      <c r="C76" s="1" t="n">
        <v>45205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3.7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HYPERLINK("https://klasma.github.io/Logging_ESKILSTUNA/artfynd/A 26133-2023.xlsx", "A 26133-2023")</f>
        <v/>
      </c>
      <c r="T76">
        <f>HYPERLINK("https://klasma.github.io/Logging_ESKILSTUNA/kartor/A 26133-2023.png", "A 26133-2023")</f>
        <v/>
      </c>
      <c r="V76">
        <f>HYPERLINK("https://klasma.github.io/Logging_ESKILSTUNA/klagomål/A 26133-2023.docx", "A 26133-2023")</f>
        <v/>
      </c>
      <c r="W76">
        <f>HYPERLINK("https://klasma.github.io/Logging_ESKILSTUNA/klagomålsmail/A 26133-2023.docx", "A 26133-2023")</f>
        <v/>
      </c>
      <c r="X76">
        <f>HYPERLINK("https://klasma.github.io/Logging_ESKILSTUNA/tillsyn/A 26133-2023.docx", "A 26133-2023")</f>
        <v/>
      </c>
      <c r="Y76">
        <f>HYPERLINK("https://klasma.github.io/Logging_ESKILSTUNA/tillsynsmail/A 26133-2023.docx", "A 26133-2023")</f>
        <v/>
      </c>
    </row>
    <row r="77" ht="15" customHeight="1">
      <c r="A77" t="inlineStr">
        <is>
          <t>A 27580-2023</t>
        </is>
      </c>
      <c r="B77" s="1" t="n">
        <v>45097</v>
      </c>
      <c r="C77" s="1" t="n">
        <v>45205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9.199999999999999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Motaggsvamp</t>
        </is>
      </c>
      <c r="S77">
        <f>HYPERLINK("https://klasma.github.io/Logging_ESKILSTUNA/artfynd/A 27580-2023.xlsx", "A 27580-2023")</f>
        <v/>
      </c>
      <c r="T77">
        <f>HYPERLINK("https://klasma.github.io/Logging_ESKILSTUNA/kartor/A 27580-2023.png", "A 27580-2023")</f>
        <v/>
      </c>
      <c r="V77">
        <f>HYPERLINK("https://klasma.github.io/Logging_ESKILSTUNA/klagomål/A 27580-2023.docx", "A 27580-2023")</f>
        <v/>
      </c>
      <c r="W77">
        <f>HYPERLINK("https://klasma.github.io/Logging_ESKILSTUNA/klagomålsmail/A 27580-2023.docx", "A 27580-2023")</f>
        <v/>
      </c>
      <c r="X77">
        <f>HYPERLINK("https://klasma.github.io/Logging_ESKILSTUNA/tillsyn/A 27580-2023.docx", "A 27580-2023")</f>
        <v/>
      </c>
      <c r="Y77">
        <f>HYPERLINK("https://klasma.github.io/Logging_ESKILSTUNA/tillsynsmail/A 27580-2023.docx", "A 27580-2023")</f>
        <v/>
      </c>
    </row>
    <row r="78" ht="15" customHeight="1">
      <c r="A78" t="inlineStr">
        <is>
          <t>A 31987-2023</t>
        </is>
      </c>
      <c r="B78" s="1" t="n">
        <v>45119</v>
      </c>
      <c r="C78" s="1" t="n">
        <v>45205</v>
      </c>
      <c r="D78" t="inlineStr">
        <is>
          <t>SÖDERMANLANDS LÄN</t>
        </is>
      </c>
      <c r="E78" t="inlineStr">
        <is>
          <t>ESKILSTUNA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Bredbrämad bastardsvärmare</t>
        </is>
      </c>
      <c r="S78">
        <f>HYPERLINK("https://klasma.github.io/Logging_ESKILSTUNA/artfynd/A 31987-2023.xlsx", "A 31987-2023")</f>
        <v/>
      </c>
      <c r="T78">
        <f>HYPERLINK("https://klasma.github.io/Logging_ESKILSTUNA/kartor/A 31987-2023.png", "A 31987-2023")</f>
        <v/>
      </c>
      <c r="V78">
        <f>HYPERLINK("https://klasma.github.io/Logging_ESKILSTUNA/klagomål/A 31987-2023.docx", "A 31987-2023")</f>
        <v/>
      </c>
      <c r="W78">
        <f>HYPERLINK("https://klasma.github.io/Logging_ESKILSTUNA/klagomålsmail/A 31987-2023.docx", "A 31987-2023")</f>
        <v/>
      </c>
      <c r="X78">
        <f>HYPERLINK("https://klasma.github.io/Logging_ESKILSTUNA/tillsyn/A 31987-2023.docx", "A 31987-2023")</f>
        <v/>
      </c>
      <c r="Y78">
        <f>HYPERLINK("https://klasma.github.io/Logging_ESKILSTUNA/tillsynsmail/A 31987-2023.docx", "A 31987-2023")</f>
        <v/>
      </c>
    </row>
    <row r="79" ht="15" customHeight="1">
      <c r="A79" t="inlineStr">
        <is>
          <t>A 34717-2023</t>
        </is>
      </c>
      <c r="B79" s="1" t="n">
        <v>45141</v>
      </c>
      <c r="C79" s="1" t="n">
        <v>45205</v>
      </c>
      <c r="D79" t="inlineStr">
        <is>
          <t>SÖDERMANLANDS LÄN</t>
        </is>
      </c>
      <c r="E79" t="inlineStr">
        <is>
          <t>ESKILSTUNA</t>
        </is>
      </c>
      <c r="F79" t="inlineStr">
        <is>
          <t>Kyrkan</t>
        </is>
      </c>
      <c r="G79" t="n">
        <v>1.5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Triplax rufipes</t>
        </is>
      </c>
      <c r="S79">
        <f>HYPERLINK("https://klasma.github.io/Logging_ESKILSTUNA/artfynd/A 34717-2023.xlsx", "A 34717-2023")</f>
        <v/>
      </c>
      <c r="T79">
        <f>HYPERLINK("https://klasma.github.io/Logging_ESKILSTUNA/kartor/A 34717-2023.png", "A 34717-2023")</f>
        <v/>
      </c>
      <c r="V79">
        <f>HYPERLINK("https://klasma.github.io/Logging_ESKILSTUNA/klagomål/A 34717-2023.docx", "A 34717-2023")</f>
        <v/>
      </c>
      <c r="W79">
        <f>HYPERLINK("https://klasma.github.io/Logging_ESKILSTUNA/klagomålsmail/A 34717-2023.docx", "A 34717-2023")</f>
        <v/>
      </c>
      <c r="X79">
        <f>HYPERLINK("https://klasma.github.io/Logging_ESKILSTUNA/tillsyn/A 34717-2023.docx", "A 34717-2023")</f>
        <v/>
      </c>
      <c r="Y79">
        <f>HYPERLINK("https://klasma.github.io/Logging_ESKILSTUNA/tillsynsmail/A 34717-2023.docx", "A 34717-2023")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45205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45205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45205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45205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45205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45205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45205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45205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45205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45205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45205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45205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45205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45205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45205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45205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45205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45205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45205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45205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45205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45205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45205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45205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45205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45205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45205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45205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45205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45205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45205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45205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45205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45205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45205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45205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45205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45205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45205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45205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45205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45205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45205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45205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45205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45205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45205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45205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45205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45205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45205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45205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45205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45205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45205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45205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45205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45205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45205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45205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45205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45205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45205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45205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45205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45205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45205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45205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45205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45205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45205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45205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45205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45205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45205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45205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45205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45205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45205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45205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45205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45205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45205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45205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45205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45205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45205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45205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45205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45205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45205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45205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45205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45205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45205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45205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45205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45205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45205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45205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45205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45205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45205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45205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45205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45205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45205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45205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45205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45205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45205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45205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45205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45205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45205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45205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45205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45205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45205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45205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45205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45205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45205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45205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45205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45205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45205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45205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45205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45205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45205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45205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45205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45205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45205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45205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45205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45205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45205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45205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45205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45205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45205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45205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45205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45205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45205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45205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45205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45205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45205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45205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45205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45205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45205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45205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45205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45205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45205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45205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45205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45205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45205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45205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45205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45205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45205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45205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45205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45205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45205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45205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45205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45205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45205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45205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45205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45205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45205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45205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45205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45205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45205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45205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45205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45205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45205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45205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45205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45205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45205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45205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45205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45205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45205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45205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45205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45205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45205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45205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45205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45205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45205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45205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45205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45205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45205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45205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45205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45205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45205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45205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45205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45205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45205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45205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45205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45205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45205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45205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45205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45205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45205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45205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45205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45205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45205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45205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45205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45205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45205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45205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45205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45205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45205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45205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45205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45205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45205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45205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45205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45205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45205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45205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45205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45205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45205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45205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45205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45205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45205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45205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45205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45205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45205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45205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45205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45205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45205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45205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45205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45205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45205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45205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45205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45205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45205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45205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45205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45205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45205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45205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45205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45205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45205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45205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45205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45205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45205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45205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45205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45205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45205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45205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45205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45205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45205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45205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45205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45205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45205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45205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45205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45205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45205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45205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45205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45205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45205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45205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45205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45205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45205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45205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45205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45205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45205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45205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45205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45205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45205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45205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45205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45205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45205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45205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45205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45205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45205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45205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45205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45205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45205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45205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45205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45205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45205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45205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45205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45205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45205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45205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45205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45205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45205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45205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45205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45205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45205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45205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45205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45205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45205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45205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45205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45205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45205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45205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45205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45205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45205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45205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45205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45205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45205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45205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45205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45205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45205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45205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45205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45205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45205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45205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45205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45205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45205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45205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45205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45205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45205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45205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45205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45205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45205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45205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45205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45205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45205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45205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45205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45205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45205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45205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45205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45205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45205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45205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45205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45205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45205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45205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45205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45205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45205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45205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45205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45205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45205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45205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45205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45205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45205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45205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45205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45205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45205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45205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45205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45205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45205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45205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45205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45205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45205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45205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45205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45205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45205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45205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45205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45205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45205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45205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45205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45205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45205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45205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45205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45205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45205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45205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45205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45205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45205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45205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45205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45205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45205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45205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45205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45205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45205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45205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45205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45205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45205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45205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45205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45205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45205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45205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45205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45205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45205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45205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45205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45205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45205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45205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45205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45205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45205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45205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45205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45205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45205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45205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45205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45205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45205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45205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45205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45205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45205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45205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45205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45205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45205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45205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45205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45205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45205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45205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45205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45205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45205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45205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45205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45205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45205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45205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45205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45205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45205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45205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45205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45205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45205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45205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45205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45205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45205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45205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45205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45205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45205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45205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45205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45205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45205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45205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45205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45205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45205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45205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45205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45205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45205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45205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45205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45205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45205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45205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45205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45205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45205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45205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45205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45205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45205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45205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45205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45205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45205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45205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45205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45205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45205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45205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45205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45205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45205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45205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45205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45205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45205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45205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45205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45205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45205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45205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45205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45205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45205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45205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45205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45205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45205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45205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45205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45205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45205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45205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45205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45205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45205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45205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45205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45205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45205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45205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45205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45205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45205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45205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45205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45205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45205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45205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45205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45205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45205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45205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45205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45205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45205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45205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45205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45205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45205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45205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45205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45205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45205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45205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45205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45205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45205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45205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45205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45205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45205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45205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45205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45205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45205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45205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45205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45205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45205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45205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45205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45205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45205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45205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45205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45205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45205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45205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45205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45205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45205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45205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45205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45205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45205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45205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45205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45205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45205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45205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45205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45205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45205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45205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45205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45205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45205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45205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45205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45205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45205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45205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45205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45205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45205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45205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45205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45205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45205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45205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45205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45205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45205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45205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45205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45205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45205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45205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45205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45205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45205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45205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45205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45205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45205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45205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45205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45205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45205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45205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45205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45205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45205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45205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45205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45205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45205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45205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45205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45205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45205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45205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45205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45205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45205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45205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45205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45205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45205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45205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45205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45205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45205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45205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45205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45205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45205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45205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45205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45205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45205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45205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45205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45205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45205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45205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45205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45205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45205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45205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45205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45205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45205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45205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45205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45205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45205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45205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43161-2023</t>
        </is>
      </c>
      <c r="B800" s="1" t="n">
        <v>45183</v>
      </c>
      <c r="C800" s="1" t="n">
        <v>45205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44917-2023</t>
        </is>
      </c>
      <c r="B801" s="1" t="n">
        <v>45190</v>
      </c>
      <c r="C801" s="1" t="n">
        <v>45205</v>
      </c>
      <c r="D801" t="inlineStr">
        <is>
          <t>SÖDERMANLANDS LÄN</t>
        </is>
      </c>
      <c r="E801" t="inlineStr">
        <is>
          <t>ESKILSTUNA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2023-10-06T15:49:09Z</dcterms:created>
  <dcterms:modified xmlns:dcterms="http://purl.org/dc/terms/" xmlns:xsi="http://www.w3.org/2001/XMLSchema-instance" xsi:type="dcterms:W3CDTF">2023-10-06T15:49:09Z</dcterms:modified>
</cp:coreProperties>
</file>