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Arnträskbergen</t>
        </is>
      </c>
      <c r="B2" t="inlineStr">
        <is>
          <t>2025-07-21</t>
        </is>
      </c>
      <c r="C2" s="1" t="n">
        <v>45859</v>
      </c>
      <c r="D2" t="inlineStr"/>
      <c r="E2" t="inlineStr">
        <is>
          <t>Bjurholm</t>
        </is>
      </c>
      <c r="G2" t="n">
        <v>1125.5</v>
      </c>
      <c r="H2" t="n">
        <v>11</v>
      </c>
      <c r="I2" t="n">
        <v>17</v>
      </c>
      <c r="J2" t="n">
        <v>20</v>
      </c>
      <c r="K2" t="n">
        <v>9</v>
      </c>
      <c r="L2" t="n">
        <v>0</v>
      </c>
      <c r="M2" t="n">
        <v>0</v>
      </c>
      <c r="N2" t="n">
        <v>0</v>
      </c>
      <c r="O2" t="n">
        <v>29</v>
      </c>
      <c r="P2" t="n">
        <v>9</v>
      </c>
      <c r="Q2" t="n">
        <v>50</v>
      </c>
      <c r="R2" s="2" t="inlineStr">
        <is>
          <t>Doftticka
Finporing
Grantickeporing
Gräddticka
Lappticka
Ostticka
Rynkskinn
Tallbit
Ulltickeporing
Doftskinn
Gammelgransskål
Garnlav
Granticka
Gränsticka
Harticka
Järpe
Knottrig blåslav
Leptoporus mollis
Lunglav
Rosenticka
Skrovellav
Spillkråka
Stjärntagging
Talltita
Tretåig hackspett
Ullticka
Vedskivlav
Violettgrå tagellav
Vitgrynig nållav
Barkticka
Blodticka
Bårdlav
Gullgröppa
Gulnål
Gulskölding
Gytterlav
Korallrot
Kornig nållav
Luddlav
Mörk husmossa
Skinnlav
Stor aspticka
Stuplav
Trådticka
Vedticka
Ögonpyrola
Lavskrika
Orre
Tjäder
Revlummer</t>
        </is>
      </c>
      <c r="S2">
        <f>HYPERLINK("https://klasma.github.io/Logging_FORSKNINGSRESAN_2025_BJURHOLM/artfynd/Arnträskbergen artfynd.xlsx", "Arnträskbergen")</f>
        <v/>
      </c>
      <c r="T2">
        <f>HYPERLINK("https://klasma.github.io/Logging_FORSKNINGSRESAN_2025_BJURHOLM/kartor/Arnträskbergen karta.png", "Arnträskbergen")</f>
        <v/>
      </c>
      <c r="V2">
        <f>HYPERLINK("https://klasma.github.io/Logging_FORSKNINGSRESAN_2025_BJURHOLM/klagomål/Arnträskbergen FSC-klagomål.docx", "Arnträskbergen")</f>
        <v/>
      </c>
      <c r="W2">
        <f>HYPERLINK("https://klasma.github.io/Logging_FORSKNINGSRESAN_2025_BJURHOLM/klagomålsmail/Arnträskbergen FSC-klagomål mail.docx", "Arnträskbergen")</f>
        <v/>
      </c>
      <c r="X2">
        <f>HYPERLINK("https://klasma.github.io/Logging_FORSKNINGSRESAN_2025_BJURHOLM/tillsyn/Arnträskbergen tillsynsbegäran.docx", "Arnträskbergen")</f>
        <v/>
      </c>
      <c r="Y2">
        <f>HYPERLINK("https://klasma.github.io/Logging_FORSKNINGSRESAN_2025_BJURHOLM/tillsynsmail/Arnträskbergen tillsynsbegäran mail.docx", "Arnträskbergen")</f>
        <v/>
      </c>
      <c r="Z2">
        <f>HYPERLINK("https://klasma.github.io/Logging_FORSKNINGSRESAN_2025_BJURHOLM/fåglar/Arnträskbergen prioriterade fågelarter.docx", "Arnträskbergen")</f>
        <v/>
      </c>
    </row>
    <row r="3" ht="15" customHeight="1">
      <c r="A3" t="inlineStr">
        <is>
          <t>Sundsjölandet</t>
        </is>
      </c>
      <c r="B3" t="inlineStr">
        <is>
          <t>2025-07-21</t>
        </is>
      </c>
      <c r="C3" s="1" t="n">
        <v>45859</v>
      </c>
      <c r="D3" t="inlineStr"/>
      <c r="E3" t="inlineStr">
        <is>
          <t>Bjurholm</t>
        </is>
      </c>
      <c r="G3" t="n">
        <v>381.1</v>
      </c>
      <c r="H3" t="n">
        <v>7</v>
      </c>
      <c r="I3" t="n">
        <v>8</v>
      </c>
      <c r="J3" t="n">
        <v>27</v>
      </c>
      <c r="K3" t="n">
        <v>3</v>
      </c>
      <c r="L3" t="n">
        <v>1</v>
      </c>
      <c r="M3" t="n">
        <v>0</v>
      </c>
      <c r="N3" t="n">
        <v>0</v>
      </c>
      <c r="O3" t="n">
        <v>31</v>
      </c>
      <c r="P3" t="n">
        <v>4</v>
      </c>
      <c r="Q3" t="n">
        <v>44</v>
      </c>
      <c r="R3" s="2" t="inlineStr">
        <is>
          <t>Urskogsporing
Fläckporing
Gräddporing
Taggfingersvamp
Blanksvart spiklav
Blå taggsvamp
Blågrå svartspik
Dvärgbägarlav
Gammelgransskål
Garnlav
Granticka
Gränsticka
Kolflarnlav
Kortskaftad ärgspik
Lunglav
Motaggsvamp
Mörk kolflarnlav
Nordtagging
Orange taggsvamp
Skrovlig taggsvamp
Spillkråka
Tallriska
Tretåig hackspett
Ullticka
Vaddporing
Vedflamlav
Vedskivlav
Vedtrappmossa
Violettgrå tagellav
Vitgrynig nållav
Vitplätt
Barkticka
Bårdlav
Dropptaggsvamp
Luddlav
Skarp dropptaggsvamp
Skinnlav
Stuplav
Vedticka
Gråspett
Lavskrika
Tjäder
Huggorm
Fläcknycklar</t>
        </is>
      </c>
      <c r="S3">
        <f>HYPERLINK("https://klasma.github.io/Logging_FORSKNINGSRESAN_2025_BJURHOLM/artfynd/Sundsjölandet artfynd.xlsx", "Sundsjölandet")</f>
        <v/>
      </c>
      <c r="T3">
        <f>HYPERLINK("https://klasma.github.io/Logging_FORSKNINGSRESAN_2025_BJURHOLM/kartor/Sundsjölandet karta.png", "Sundsjölandet")</f>
        <v/>
      </c>
      <c r="V3">
        <f>HYPERLINK("https://klasma.github.io/Logging_FORSKNINGSRESAN_2025_BJURHOLM/klagomål/Sundsjölandet FSC-klagomål.docx", "Sundsjölandet")</f>
        <v/>
      </c>
      <c r="W3">
        <f>HYPERLINK("https://klasma.github.io/Logging_FORSKNINGSRESAN_2025_BJURHOLM/klagomålsmail/Sundsjölandet FSC-klagomål mail.docx", "Sundsjölandet")</f>
        <v/>
      </c>
      <c r="X3">
        <f>HYPERLINK("https://klasma.github.io/Logging_FORSKNINGSRESAN_2025_BJURHOLM/tillsyn/Sundsjölandet tillsynsbegäran.docx", "Sundsjölandet")</f>
        <v/>
      </c>
      <c r="Y3">
        <f>HYPERLINK("https://klasma.github.io/Logging_FORSKNINGSRESAN_2025_BJURHOLM/tillsynsmail/Sundsjölandet tillsynsbegäran mail.docx", "Sundsjölandet")</f>
        <v/>
      </c>
      <c r="Z3">
        <f>HYPERLINK("https://klasma.github.io/Logging_FORSKNINGSRESAN_2025_BJURHOLM/fåglar/Sundsjölandet prioriterade fågelarter.docx", "Sundsjölandet")</f>
        <v/>
      </c>
    </row>
    <row r="4" ht="15" customHeight="1">
      <c r="A4" t="inlineStr">
        <is>
          <t>Råtjärnberget</t>
        </is>
      </c>
      <c r="B4" t="inlineStr">
        <is>
          <t>2025-07-21</t>
        </is>
      </c>
      <c r="C4" s="1" t="n">
        <v>45859</v>
      </c>
      <c r="D4" t="inlineStr"/>
      <c r="E4" t="inlineStr">
        <is>
          <t>Bjurholm</t>
        </is>
      </c>
      <c r="G4" t="n">
        <v>240.4</v>
      </c>
      <c r="H4" t="n">
        <v>10</v>
      </c>
      <c r="I4" t="n">
        <v>14</v>
      </c>
      <c r="J4" t="n">
        <v>17</v>
      </c>
      <c r="K4" t="n">
        <v>5</v>
      </c>
      <c r="L4" t="n">
        <v>0</v>
      </c>
      <c r="M4" t="n">
        <v>0</v>
      </c>
      <c r="N4" t="n">
        <v>0</v>
      </c>
      <c r="O4" t="n">
        <v>22</v>
      </c>
      <c r="P4" t="n">
        <v>5</v>
      </c>
      <c r="Q4" t="n">
        <v>40</v>
      </c>
      <c r="R4" s="2" t="inlineStr">
        <is>
          <t>Doftticka
Fläckporing
Gräddporing
Knärot
Rynkskinn
Aspbarkgnagare
Doftskinn
Dvärgbägarlav
Gammelgransskål
Garnlav
Granticka
Grön aspvedbock
Kolflarnlav
Lunglav
Mörk kolflarnlav
Reliktbock
Rosenticka
Rödvingetrast
Småflikig brosklav
Stiftgelélav
Talltita
Vedskivlav
Aspvedgnagare
Bårdlav
Dropptaggsvamp
Luddlav
Plattlummer
Robust tickgnagare
Rävticka
Skinnlav
Spindelblomster
Spädstarr
Stekelbock
Stor aspticka
Stuplav
Ögonpyrola
Pärluggla
Tjäder
Fläcknycklar
Revlummer</t>
        </is>
      </c>
      <c r="S4">
        <f>HYPERLINK("https://klasma.github.io/Logging_FORSKNINGSRESAN_2025_BJURHOLM/artfynd/Råtjärnberget artfynd.xlsx", "Råtjärnberget")</f>
        <v/>
      </c>
      <c r="T4">
        <f>HYPERLINK("https://klasma.github.io/Logging_FORSKNINGSRESAN_2025_BJURHOLM/kartor/Råtjärnberget karta.png", "Råtjärnberget")</f>
        <v/>
      </c>
      <c r="U4">
        <f>HYPERLINK("https://klasma.github.io/Logging_FORSKNINGSRESAN_2025_BJURHOLM/knärot/Råtjärnberget karta knärot.png", "Råtjärnberget")</f>
        <v/>
      </c>
      <c r="V4">
        <f>HYPERLINK("https://klasma.github.io/Logging_FORSKNINGSRESAN_2025_BJURHOLM/klagomål/Råtjärnberget FSC-klagomål.docx", "Råtjärnberget")</f>
        <v/>
      </c>
      <c r="W4">
        <f>HYPERLINK("https://klasma.github.io/Logging_FORSKNINGSRESAN_2025_BJURHOLM/klagomålsmail/Råtjärnberget FSC-klagomål mail.docx", "Råtjärnberget")</f>
        <v/>
      </c>
      <c r="X4">
        <f>HYPERLINK("https://klasma.github.io/Logging_FORSKNINGSRESAN_2025_BJURHOLM/tillsyn/Råtjärnberget tillsynsbegäran.docx", "Råtjärnberget")</f>
        <v/>
      </c>
      <c r="Y4">
        <f>HYPERLINK("https://klasma.github.io/Logging_FORSKNINGSRESAN_2025_BJURHOLM/tillsynsmail/Råtjärnberget tillsynsbegäran mail.docx", "Råtjärnberget")</f>
        <v/>
      </c>
      <c r="Z4">
        <f>HYPERLINK("https://klasma.github.io/Logging_FORSKNINGSRESAN_2025_BJURHOLM/fåglar/Råtjärnberget prioriterade fågelarter.docx", "Råtjärnberget")</f>
        <v/>
      </c>
    </row>
    <row r="5" ht="15" customHeight="1">
      <c r="A5" t="inlineStr">
        <is>
          <t>Oxliden</t>
        </is>
      </c>
      <c r="B5" t="inlineStr">
        <is>
          <t>2025-07-21</t>
        </is>
      </c>
      <c r="C5" s="1" t="n">
        <v>45859</v>
      </c>
      <c r="D5" t="inlineStr"/>
      <c r="E5" t="inlineStr">
        <is>
          <t>Bjurholm</t>
        </is>
      </c>
      <c r="G5" t="n">
        <v>258.7</v>
      </c>
      <c r="H5" t="n">
        <v>2</v>
      </c>
      <c r="I5" t="n">
        <v>10</v>
      </c>
      <c r="J5" t="n">
        <v>23</v>
      </c>
      <c r="K5" t="n">
        <v>2</v>
      </c>
      <c r="L5" t="n">
        <v>0</v>
      </c>
      <c r="M5" t="n">
        <v>0</v>
      </c>
      <c r="N5" t="n">
        <v>0</v>
      </c>
      <c r="O5" t="n">
        <v>25</v>
      </c>
      <c r="P5" t="n">
        <v>2</v>
      </c>
      <c r="Q5" t="n">
        <v>35</v>
      </c>
      <c r="R5" s="2" t="inlineStr">
        <is>
          <t>Gräddporing
Rotfingersvamp
Blanksvart spiklav
Doftskinn
Dvärgbägarlav
Gammelgransskål
Garnlav
Granticka
Gränsticka
Kolflarnlav
Lunglav
Mindre hackspett
Motaggsvamp
Mörk kolflarnlav
Rosenticka
Skrovellav
Skrovlig taggsvamp
Stiftgelélav
Tretåig hackspett
Ullticka
Vaddporing
Vedflamlav
Vedtrappmossa
Violettgrå tagellav
Vitgrynig nållav
Bronshjon
Bårdlav
Dropptaggsvamp
Luddlav
Nästlav
Skarp dropptaggsvamp
Skinnlav
Skogshakmossa
Stor aspticka
Stuplav</t>
        </is>
      </c>
      <c r="S5">
        <f>HYPERLINK("https://klasma.github.io/Logging_FORSKNINGSRESAN_2025_BJURHOLM/artfynd/Oxliden artfynd.xlsx", "Oxliden")</f>
        <v/>
      </c>
      <c r="T5">
        <f>HYPERLINK("https://klasma.github.io/Logging_FORSKNINGSRESAN_2025_BJURHOLM/kartor/Oxliden karta.png", "Oxliden")</f>
        <v/>
      </c>
      <c r="V5">
        <f>HYPERLINK("https://klasma.github.io/Logging_FORSKNINGSRESAN_2025_BJURHOLM/klagomål/Oxliden FSC-klagomål.docx", "Oxliden")</f>
        <v/>
      </c>
      <c r="W5">
        <f>HYPERLINK("https://klasma.github.io/Logging_FORSKNINGSRESAN_2025_BJURHOLM/klagomålsmail/Oxliden FSC-klagomål mail.docx", "Oxliden")</f>
        <v/>
      </c>
      <c r="X5">
        <f>HYPERLINK("https://klasma.github.io/Logging_FORSKNINGSRESAN_2025_BJURHOLM/tillsyn/Oxliden tillsynsbegäran.docx", "Oxliden")</f>
        <v/>
      </c>
      <c r="Y5">
        <f>HYPERLINK("https://klasma.github.io/Logging_FORSKNINGSRESAN_2025_BJURHOLM/tillsynsmail/Oxliden tillsynsbegäran mail.docx", "Oxliden")</f>
        <v/>
      </c>
      <c r="Z5">
        <f>HYPERLINK("https://klasma.github.io/Logging_FORSKNINGSRESAN_2025_BJURHOLM/fåglar/Oxliden prioriterade fågelarter.docx", "Oxliden")</f>
        <v/>
      </c>
    </row>
    <row r="6" ht="15" customHeight="1">
      <c r="A6" t="inlineStr">
        <is>
          <t>Tyfallsjön</t>
        </is>
      </c>
      <c r="B6" t="inlineStr">
        <is>
          <t>2025-07-21</t>
        </is>
      </c>
      <c r="C6" s="1" t="n">
        <v>45859</v>
      </c>
      <c r="D6" t="inlineStr"/>
      <c r="E6" t="inlineStr">
        <is>
          <t>Bjurholm</t>
        </is>
      </c>
      <c r="G6" t="n">
        <v>103.6</v>
      </c>
      <c r="H6" t="n">
        <v>1</v>
      </c>
      <c r="I6" t="n">
        <v>4</v>
      </c>
      <c r="J6" t="n">
        <v>22</v>
      </c>
      <c r="K6" t="n">
        <v>8</v>
      </c>
      <c r="L6" t="n">
        <v>0</v>
      </c>
      <c r="M6" t="n">
        <v>0</v>
      </c>
      <c r="N6" t="n">
        <v>0</v>
      </c>
      <c r="O6" t="n">
        <v>30</v>
      </c>
      <c r="P6" t="n">
        <v>8</v>
      </c>
      <c r="Q6" t="n">
        <v>34</v>
      </c>
      <c r="R6" s="2" t="inlineStr">
        <is>
          <t>Fläckporing
Goliatmusseron
Gräddporing
Knärot
Rynkskinn
Smalfotad taggsvamp
Spadskinn
Ulltickeporing
Blanksvart spiklav
Blå taggsvamp
Dvärgbägarlav
Garnlav
Harticka
Kolflarnlav
Mörk kolflarnlav
Nordtagging
Orange taggsvamp
Reliktbock
Rosenticka
Skrovlig taggsvamp
Stiftgelélav
Svart taggsvamp
Tallriska
Talltaggsvamp
Tallticka
Ullticka
Vaddporing
Vedflamlav
Vedskivlav
Vitgrynig nållav
Dropptaggsvamp
Kalktallört
Skarp dropptaggsvamp
Vedticka</t>
        </is>
      </c>
      <c r="S6">
        <f>HYPERLINK("https://klasma.github.io/Logging_FORSKNINGSRESAN_2025_BJURHOLM/artfynd/Tyfallsjön artfynd.xlsx", "Tyfallsjön")</f>
        <v/>
      </c>
      <c r="T6">
        <f>HYPERLINK("https://klasma.github.io/Logging_FORSKNINGSRESAN_2025_BJURHOLM/kartor/Tyfallsjön karta.png", "Tyfallsjön")</f>
        <v/>
      </c>
      <c r="U6">
        <f>HYPERLINK("https://klasma.github.io/Logging_FORSKNINGSRESAN_2025_BJURHOLM/knärot/Tyfallsjön karta knärot.png", "Tyfallsjön")</f>
        <v/>
      </c>
      <c r="V6">
        <f>HYPERLINK("https://klasma.github.io/Logging_FORSKNINGSRESAN_2025_BJURHOLM/klagomål/Tyfallsjön FSC-klagomål.docx", "Tyfallsjön")</f>
        <v/>
      </c>
      <c r="W6">
        <f>HYPERLINK("https://klasma.github.io/Logging_FORSKNINGSRESAN_2025_BJURHOLM/klagomålsmail/Tyfallsjön FSC-klagomål mail.docx", "Tyfallsjön")</f>
        <v/>
      </c>
      <c r="X6">
        <f>HYPERLINK("https://klasma.github.io/Logging_FORSKNINGSRESAN_2025_BJURHOLM/tillsyn/Tyfallsjön tillsynsbegäran.docx", "Tyfallsjön")</f>
        <v/>
      </c>
      <c r="Y6">
        <f>HYPERLINK("https://klasma.github.io/Logging_FORSKNINGSRESAN_2025_BJURHOLM/tillsynsmail/Tyfallsjön tillsynsbegäran mail.docx", "Tyfallsjön")</f>
        <v/>
      </c>
    </row>
    <row r="7" ht="15" customHeight="1">
      <c r="A7" t="inlineStr">
        <is>
          <t>Lillgoberget</t>
        </is>
      </c>
      <c r="B7" t="inlineStr">
        <is>
          <t>2025-07-21</t>
        </is>
      </c>
      <c r="C7" s="1" t="n">
        <v>45859</v>
      </c>
      <c r="D7" t="inlineStr"/>
      <c r="E7" t="inlineStr">
        <is>
          <t>Bjurholm</t>
        </is>
      </c>
      <c r="G7" t="n">
        <v>102.2</v>
      </c>
      <c r="H7" t="n">
        <v>7</v>
      </c>
      <c r="I7" t="n">
        <v>13</v>
      </c>
      <c r="J7" t="n">
        <v>12</v>
      </c>
      <c r="K7" t="n">
        <v>4</v>
      </c>
      <c r="L7" t="n">
        <v>0</v>
      </c>
      <c r="M7" t="n">
        <v>0</v>
      </c>
      <c r="N7" t="n">
        <v>0</v>
      </c>
      <c r="O7" t="n">
        <v>16</v>
      </c>
      <c r="P7" t="n">
        <v>4</v>
      </c>
      <c r="Q7" t="n">
        <v>32</v>
      </c>
      <c r="R7" s="2" t="inlineStr">
        <is>
          <t>Knärot
Lappticka
Liten aspgelélav
Läderdoftande fingersvamp
Gammelgransskål
Garnlav
Grantaggsvamp
Granticka
Grynig filtlav
Luddfingersvamp
Lunglav
Månlåsbräken
Spillkråka
Tretåig hackspett
Ullticka
Vitgrynig nållav
Broskvaxing
Bårdlav
Norrlandslav
Småvaxing
Spindelblomster
Sprödvaxing
Stor aspticka
Stuplav
Vedticka
Vit vaxskivling
Ängsfingersvamp
Ängsvaxskivling
Ögonpyrola
Lavskrika
Fläcknycklar
Nattviol</t>
        </is>
      </c>
      <c r="S7">
        <f>HYPERLINK("https://klasma.github.io/Logging_FORSKNINGSRESAN_2025_BJURHOLM/artfynd/Lillgoberget artfynd.xlsx", "Lillgoberget")</f>
        <v/>
      </c>
      <c r="T7">
        <f>HYPERLINK("https://klasma.github.io/Logging_FORSKNINGSRESAN_2025_BJURHOLM/kartor/Lillgoberget karta.png", "Lillgoberget")</f>
        <v/>
      </c>
      <c r="U7">
        <f>HYPERLINK("https://klasma.github.io/Logging_FORSKNINGSRESAN_2025_BJURHOLM/knärot/Lillgoberget karta knärot.png", "Lillgoberget")</f>
        <v/>
      </c>
      <c r="V7">
        <f>HYPERLINK("https://klasma.github.io/Logging_FORSKNINGSRESAN_2025_BJURHOLM/klagomål/Lillgoberget FSC-klagomål.docx", "Lillgoberget")</f>
        <v/>
      </c>
      <c r="W7">
        <f>HYPERLINK("https://klasma.github.io/Logging_FORSKNINGSRESAN_2025_BJURHOLM/klagomålsmail/Lillgoberget FSC-klagomål mail.docx", "Lillgoberget")</f>
        <v/>
      </c>
      <c r="X7">
        <f>HYPERLINK("https://klasma.github.io/Logging_FORSKNINGSRESAN_2025_BJURHOLM/tillsyn/Lillgoberget tillsynsbegäran.docx", "Lillgoberget")</f>
        <v/>
      </c>
      <c r="Y7">
        <f>HYPERLINK("https://klasma.github.io/Logging_FORSKNINGSRESAN_2025_BJURHOLM/tillsynsmail/Lillgoberget tillsynsbegäran mail.docx", "Lillgoberget")</f>
        <v/>
      </c>
      <c r="Z7">
        <f>HYPERLINK("https://klasma.github.io/Logging_FORSKNINGSRESAN_2025_BJURHOLM/fåglar/Lillgoberget prioriterade fågelarter.docx", "Lillgoberget")</f>
        <v/>
      </c>
    </row>
    <row r="8" ht="15" customHeight="1">
      <c r="A8" t="inlineStr">
        <is>
          <t>Orratjärnskullen</t>
        </is>
      </c>
      <c r="B8" t="inlineStr">
        <is>
          <t>2025-07-21</t>
        </is>
      </c>
      <c r="C8" s="1" t="n">
        <v>45859</v>
      </c>
      <c r="D8" t="inlineStr"/>
      <c r="E8" t="inlineStr">
        <is>
          <t>Bjurholm</t>
        </is>
      </c>
      <c r="G8" t="n">
        <v>64.7</v>
      </c>
      <c r="H8" t="n">
        <v>12</v>
      </c>
      <c r="I8" t="n">
        <v>5</v>
      </c>
      <c r="J8" t="n">
        <v>20</v>
      </c>
      <c r="K8" t="n">
        <v>1</v>
      </c>
      <c r="L8" t="n">
        <v>0</v>
      </c>
      <c r="M8" t="n">
        <v>0</v>
      </c>
      <c r="N8" t="n">
        <v>0</v>
      </c>
      <c r="O8" t="n">
        <v>21</v>
      </c>
      <c r="P8" t="n">
        <v>1</v>
      </c>
      <c r="Q8" t="n">
        <v>31</v>
      </c>
      <c r="R8" s="2" t="inlineStr">
        <is>
          <t>Knärot
Doftskinn
Dvärgbägarlav
Garnlav
Granticka
Gränsticka
Harticka
Järpe
Leptoporus mollis
Lunglav
Mörk kolflarnlav
Rödvingetrast
Småflikig brosklav
Spillkråka
Stjärntagging
Svartvit flugsnappare
Talltita
Tretåig hackspett
Ullticka
Vedskivlav
Violettgrå tagellav
Bårdlav
Luddlav
Stor aspticka
Stuplav
Vedticka
Gråspett
Kungsfågel
Tjäder
Fläcknycklar
Nattviol</t>
        </is>
      </c>
      <c r="S8">
        <f>HYPERLINK("https://klasma.github.io/Logging_FORSKNINGSRESAN_2025_BJURHOLM/artfynd/Orratjärnskullen artfynd.xlsx", "Orratjärnskullen")</f>
        <v/>
      </c>
      <c r="T8">
        <f>HYPERLINK("https://klasma.github.io/Logging_FORSKNINGSRESAN_2025_BJURHOLM/kartor/Orratjärnskullen karta.png", "Orratjärnskullen")</f>
        <v/>
      </c>
      <c r="U8">
        <f>HYPERLINK("https://klasma.github.io/Logging_FORSKNINGSRESAN_2025_BJURHOLM/knärot/Orratjärnskullen karta knärot.png", "Orratjärnskullen")</f>
        <v/>
      </c>
      <c r="V8">
        <f>HYPERLINK("https://klasma.github.io/Logging_FORSKNINGSRESAN_2025_BJURHOLM/klagomål/Orratjärnskullen FSC-klagomål.docx", "Orratjärnskullen")</f>
        <v/>
      </c>
      <c r="W8">
        <f>HYPERLINK("https://klasma.github.io/Logging_FORSKNINGSRESAN_2025_BJURHOLM/klagomålsmail/Orratjärnskullen FSC-klagomål mail.docx", "Orratjärnskullen")</f>
        <v/>
      </c>
      <c r="X8">
        <f>HYPERLINK("https://klasma.github.io/Logging_FORSKNINGSRESAN_2025_BJURHOLM/tillsyn/Orratjärnskullen tillsynsbegäran.docx", "Orratjärnskullen")</f>
        <v/>
      </c>
      <c r="Y8">
        <f>HYPERLINK("https://klasma.github.io/Logging_FORSKNINGSRESAN_2025_BJURHOLM/tillsynsmail/Orratjärnskullen tillsynsbegäran mail.docx", "Orratjärnskullen")</f>
        <v/>
      </c>
      <c r="Z8">
        <f>HYPERLINK("https://klasma.github.io/Logging_FORSKNINGSRESAN_2025_BJURHOLM/fåglar/Orratjärnskullen prioriterade fågelarter.docx", "Orratjärnskullen")</f>
        <v/>
      </c>
    </row>
    <row r="9" ht="15" customHeight="1">
      <c r="A9" t="inlineStr">
        <is>
          <t>Glesskallberget</t>
        </is>
      </c>
      <c r="B9" t="inlineStr">
        <is>
          <t>2025-07-21</t>
        </is>
      </c>
      <c r="C9" s="1" t="n">
        <v>45859</v>
      </c>
      <c r="D9" t="inlineStr"/>
      <c r="E9" t="inlineStr">
        <is>
          <t>Bjurholm</t>
        </is>
      </c>
      <c r="G9" t="n">
        <v>771.6</v>
      </c>
      <c r="H9" t="n">
        <v>8</v>
      </c>
      <c r="I9" t="n">
        <v>8</v>
      </c>
      <c r="J9" t="n">
        <v>15</v>
      </c>
      <c r="K9" t="n">
        <v>5</v>
      </c>
      <c r="L9" t="n">
        <v>0</v>
      </c>
      <c r="M9" t="n">
        <v>0</v>
      </c>
      <c r="N9" t="n">
        <v>0</v>
      </c>
      <c r="O9" t="n">
        <v>20</v>
      </c>
      <c r="P9" t="n">
        <v>5</v>
      </c>
      <c r="Q9" t="n">
        <v>30</v>
      </c>
      <c r="R9" s="2" t="inlineStr">
        <is>
          <t>Doftticka
Lappticka
Långskägg
Rynkskinn
Ulltickeporing
Doftskinn
Gammelgransskål
Garnlav
Granticka
Gränsticka
Harticka
Hornvaxskinn
Järpe
Lunglav
Pilgrimsfalk
Rosenticka
Skrovellav
Tretåig hackspett
Ullticka
Violettgrå tagellav
Bårdlav
Luddlav
Mörk husmossa
Skinnlav
Spindelblomster
Stor aspticka
Stuplav
Vedticka
Tjäder
Fläcknycklar</t>
        </is>
      </c>
      <c r="S9">
        <f>HYPERLINK("https://klasma.github.io/Logging_FORSKNINGSRESAN_2025_BJURHOLM/artfynd/Glesskallberget artfynd.xlsx", "Glesskallberget")</f>
        <v/>
      </c>
      <c r="T9">
        <f>HYPERLINK("https://klasma.github.io/Logging_FORSKNINGSRESAN_2025_BJURHOLM/kartor/Glesskallberget karta.png", "Glesskallberget")</f>
        <v/>
      </c>
      <c r="V9">
        <f>HYPERLINK("https://klasma.github.io/Logging_FORSKNINGSRESAN_2025_BJURHOLM/klagomål/Glesskallberget FSC-klagomål.docx", "Glesskallberget")</f>
        <v/>
      </c>
      <c r="W9">
        <f>HYPERLINK("https://klasma.github.io/Logging_FORSKNINGSRESAN_2025_BJURHOLM/klagomålsmail/Glesskallberget FSC-klagomål mail.docx", "Glesskallberget")</f>
        <v/>
      </c>
      <c r="X9">
        <f>HYPERLINK("https://klasma.github.io/Logging_FORSKNINGSRESAN_2025_BJURHOLM/tillsyn/Glesskallberget tillsynsbegäran.docx", "Glesskallberget")</f>
        <v/>
      </c>
      <c r="Y9">
        <f>HYPERLINK("https://klasma.github.io/Logging_FORSKNINGSRESAN_2025_BJURHOLM/tillsynsmail/Glesskallberget tillsynsbegäran mail.docx", "Glesskallberget")</f>
        <v/>
      </c>
      <c r="Z9">
        <f>HYPERLINK("https://klasma.github.io/Logging_FORSKNINGSRESAN_2025_BJURHOLM/fåglar/Glesskallberget prioriterade fågelarter.docx", "Glesskallberget")</f>
        <v/>
      </c>
    </row>
    <row r="10" ht="15" customHeight="1">
      <c r="A10" t="inlineStr">
        <is>
          <t>Hötjärnberget</t>
        </is>
      </c>
      <c r="B10" t="inlineStr">
        <is>
          <t>2025-07-21</t>
        </is>
      </c>
      <c r="C10" s="1" t="n">
        <v>45859</v>
      </c>
      <c r="D10" t="inlineStr"/>
      <c r="E10" t="inlineStr">
        <is>
          <t>Bjurholm</t>
        </is>
      </c>
      <c r="G10" t="n">
        <v>65.8</v>
      </c>
      <c r="H10" t="n">
        <v>5</v>
      </c>
      <c r="I10" t="n">
        <v>12</v>
      </c>
      <c r="J10" t="n">
        <v>13</v>
      </c>
      <c r="K10" t="n">
        <v>3</v>
      </c>
      <c r="L10" t="n">
        <v>0</v>
      </c>
      <c r="M10" t="n">
        <v>0</v>
      </c>
      <c r="N10" t="n">
        <v>0</v>
      </c>
      <c r="O10" t="n">
        <v>16</v>
      </c>
      <c r="P10" t="n">
        <v>3</v>
      </c>
      <c r="Q10" t="n">
        <v>29</v>
      </c>
      <c r="R10" s="2" t="inlineStr">
        <is>
          <t>Doftticka
Knärot
Smalskaftslav
Blågrå svartspik
Gammelgransskål
Garnlav
Granticka
Knottrig blåslav
Kolflarnlav
Koralltaggsvamp
Kortskaftad ärgspik
Lunglav
Mörk kolflarnlav
Reliktbock
Stjärntagging
Tretåig hackspett
Bollvitmossa
Bårdlav
Dropptaggsvamp
Granriska
Gytterlav
Korallblylav
Luddlav
Mörk husmossa
Rävticka
Spindelblomster
Stor aspticka
Stuplav
Sångsvan</t>
        </is>
      </c>
      <c r="S10">
        <f>HYPERLINK("https://klasma.github.io/Logging_FORSKNINGSRESAN_2025_BJURHOLM/artfynd/Hötjärnberget artfynd.xlsx", "Hötjärnberget")</f>
        <v/>
      </c>
      <c r="T10">
        <f>HYPERLINK("https://klasma.github.io/Logging_FORSKNINGSRESAN_2025_BJURHOLM/kartor/Hötjärnberget karta.png", "Hötjärnberget")</f>
        <v/>
      </c>
      <c r="U10">
        <f>HYPERLINK("https://klasma.github.io/Logging_FORSKNINGSRESAN_2025_BJURHOLM/knärot/Hötjärnberget karta knärot.png", "Hötjärnberget")</f>
        <v/>
      </c>
      <c r="V10">
        <f>HYPERLINK("https://klasma.github.io/Logging_FORSKNINGSRESAN_2025_BJURHOLM/klagomål/Hötjärnberget FSC-klagomål.docx", "Hötjärnberget")</f>
        <v/>
      </c>
      <c r="W10">
        <f>HYPERLINK("https://klasma.github.io/Logging_FORSKNINGSRESAN_2025_BJURHOLM/klagomålsmail/Hötjärnberget FSC-klagomål mail.docx", "Hötjärnberget")</f>
        <v/>
      </c>
      <c r="X10">
        <f>HYPERLINK("https://klasma.github.io/Logging_FORSKNINGSRESAN_2025_BJURHOLM/tillsyn/Hötjärnberget tillsynsbegäran.docx", "Hötjärnberget")</f>
        <v/>
      </c>
      <c r="Y10">
        <f>HYPERLINK("https://klasma.github.io/Logging_FORSKNINGSRESAN_2025_BJURHOLM/tillsynsmail/Hötjärnberget tillsynsbegäran mail.docx", "Hötjärnberget")</f>
        <v/>
      </c>
      <c r="Z10">
        <f>HYPERLINK("https://klasma.github.io/Logging_FORSKNINGSRESAN_2025_BJURHOLM/fåglar/Hötjärnberget prioriterade fågelarter.docx", "Hötjärnberget")</f>
        <v/>
      </c>
    </row>
    <row r="11" ht="15" customHeight="1">
      <c r="A11" t="inlineStr">
        <is>
          <t>Lögdeälven käringberget</t>
        </is>
      </c>
      <c r="B11" t="inlineStr">
        <is>
          <t>2025-07-21</t>
        </is>
      </c>
      <c r="C11" s="1" t="n">
        <v>45859</v>
      </c>
      <c r="D11" t="inlineStr"/>
      <c r="E11" t="inlineStr">
        <is>
          <t>Bjurholm</t>
        </is>
      </c>
      <c r="G11" t="n">
        <v>534.2</v>
      </c>
      <c r="H11" t="n">
        <v>14</v>
      </c>
      <c r="I11" t="n">
        <v>2</v>
      </c>
      <c r="J11" t="n">
        <v>13</v>
      </c>
      <c r="K11" t="n">
        <v>5</v>
      </c>
      <c r="L11" t="n">
        <v>0</v>
      </c>
      <c r="M11" t="n">
        <v>0</v>
      </c>
      <c r="N11" t="n">
        <v>0</v>
      </c>
      <c r="O11" t="n">
        <v>18</v>
      </c>
      <c r="P11" t="n">
        <v>5</v>
      </c>
      <c r="Q11" t="n">
        <v>28</v>
      </c>
      <c r="R11" s="2" t="inlineStr">
        <is>
          <t>Goliatmusseron
Gräddticka
Ringlav
Rynkskinn
Tofsvipa
Buskskvätta
Dvärgbägarlav
Gammelgransskål
Järpe
Lunglav
Reliktbock
Spillkråka
Talltita
Tallvägstekel
Tretåig hackspett
Urskogsvedfluga
Vedtrappmossa
Violettgrå tagellav
Dropptaggsvamp
Skarp dropptaggsvamp
Enkelbeckasin
Gråspett
Grönsiska
Göktyta
Kungsfågel
Lavskrika
Orre
Tjäder</t>
        </is>
      </c>
      <c r="S11">
        <f>HYPERLINK("https://klasma.github.io/Logging_FORSKNINGSRESAN_2025_BJURHOLM/artfynd/Lögdeälven käringberget artfynd.xlsx", "Lögdeälven käringberget")</f>
        <v/>
      </c>
      <c r="T11">
        <f>HYPERLINK("https://klasma.github.io/Logging_FORSKNINGSRESAN_2025_BJURHOLM/kartor/Lögdeälven käringberget karta.png", "Lögdeälven käringberget")</f>
        <v/>
      </c>
      <c r="V11">
        <f>HYPERLINK("https://klasma.github.io/Logging_FORSKNINGSRESAN_2025_BJURHOLM/klagomål/Lögdeälven käringberget FSC-klagomål.docx", "Lögdeälven käringberget")</f>
        <v/>
      </c>
      <c r="W11">
        <f>HYPERLINK("https://klasma.github.io/Logging_FORSKNINGSRESAN_2025_BJURHOLM/klagomålsmail/Lögdeälven käringberget FSC-klagomål mail.docx", "Lögdeälven käringberget")</f>
        <v/>
      </c>
      <c r="X11">
        <f>HYPERLINK("https://klasma.github.io/Logging_FORSKNINGSRESAN_2025_BJURHOLM/tillsyn/Lögdeälven käringberget tillsynsbegäran.docx", "Lögdeälven käringberget")</f>
        <v/>
      </c>
      <c r="Y11">
        <f>HYPERLINK("https://klasma.github.io/Logging_FORSKNINGSRESAN_2025_BJURHOLM/tillsynsmail/Lögdeälven käringberget tillsynsbegäran mail.docx", "Lögdeälven käringberget")</f>
        <v/>
      </c>
      <c r="Z11">
        <f>HYPERLINK("https://klasma.github.io/Logging_FORSKNINGSRESAN_2025_BJURHOLM/fåglar/Lögdeälven käringberget prioriterade fågelarter.docx", "Lögdeälven käringberget")</f>
        <v/>
      </c>
    </row>
    <row r="12" ht="15" customHeight="1">
      <c r="A12" t="inlineStr">
        <is>
          <t>Bastuberget</t>
        </is>
      </c>
      <c r="B12" t="inlineStr">
        <is>
          <t>2025-07-21</t>
        </is>
      </c>
      <c r="C12" s="1" t="n">
        <v>45859</v>
      </c>
      <c r="D12" t="inlineStr"/>
      <c r="E12" t="inlineStr">
        <is>
          <t>Bjurholm</t>
        </is>
      </c>
      <c r="G12" t="n">
        <v>170.1</v>
      </c>
      <c r="H12" t="n">
        <v>7</v>
      </c>
      <c r="I12" t="n">
        <v>8</v>
      </c>
      <c r="J12" t="n">
        <v>14</v>
      </c>
      <c r="K12" t="n">
        <v>2</v>
      </c>
      <c r="L12" t="n">
        <v>0</v>
      </c>
      <c r="M12" t="n">
        <v>0</v>
      </c>
      <c r="N12" t="n">
        <v>0</v>
      </c>
      <c r="O12" t="n">
        <v>16</v>
      </c>
      <c r="P12" t="n">
        <v>2</v>
      </c>
      <c r="Q12" t="n">
        <v>27</v>
      </c>
      <c r="R12" s="2" t="inlineStr">
        <is>
          <t>Fläckporing
Knärot
Blå taggsvamp
Doftskinn
Dvärgbägarlav
Gammelgransskål
Garnlav
Granticka
Kolflarnlav
Lunglav
Mörk kolflarnlav
Orange taggsvamp
Talltita
Tretåig hackspett
Ullticka
Violettgrå tagellav
Bårdlav
Dropptaggsvamp
Korallrot
Mörk husmossa
Skinnlav
Stuplav
Vedticka
Ögonpyrola
Lavskrika
Orre
Fläcknycklar</t>
        </is>
      </c>
      <c r="S12">
        <f>HYPERLINK("https://klasma.github.io/Logging_FORSKNINGSRESAN_2025_BJURHOLM/artfynd/Bastuberget artfynd.xlsx", "Bastuberget")</f>
        <v/>
      </c>
      <c r="T12">
        <f>HYPERLINK("https://klasma.github.io/Logging_FORSKNINGSRESAN_2025_BJURHOLM/kartor/Bastuberget karta.png", "Bastuberget")</f>
        <v/>
      </c>
      <c r="U12">
        <f>HYPERLINK("https://klasma.github.io/Logging_FORSKNINGSRESAN_2025_BJURHOLM/knärot/Bastuberget karta knärot.png", "Bastuberget")</f>
        <v/>
      </c>
      <c r="V12">
        <f>HYPERLINK("https://klasma.github.io/Logging_FORSKNINGSRESAN_2025_BJURHOLM/klagomål/Bastuberget FSC-klagomål.docx", "Bastuberget")</f>
        <v/>
      </c>
      <c r="W12">
        <f>HYPERLINK("https://klasma.github.io/Logging_FORSKNINGSRESAN_2025_BJURHOLM/klagomålsmail/Bastuberget FSC-klagomål mail.docx", "Bastuberget")</f>
        <v/>
      </c>
      <c r="X12">
        <f>HYPERLINK("https://klasma.github.io/Logging_FORSKNINGSRESAN_2025_BJURHOLM/tillsyn/Bastuberget tillsynsbegäran.docx", "Bastuberget")</f>
        <v/>
      </c>
      <c r="Y12">
        <f>HYPERLINK("https://klasma.github.io/Logging_FORSKNINGSRESAN_2025_BJURHOLM/tillsynsmail/Bastuberget tillsynsbegäran mail.docx", "Bastuberget")</f>
        <v/>
      </c>
      <c r="Z12">
        <f>HYPERLINK("https://klasma.github.io/Logging_FORSKNINGSRESAN_2025_BJURHOLM/fåglar/Bastuberget prioriterade fågelarter.docx", "Bastuberget")</f>
        <v/>
      </c>
    </row>
    <row r="13" ht="15" customHeight="1">
      <c r="A13" t="inlineStr">
        <is>
          <t>Vitstensberget</t>
        </is>
      </c>
      <c r="B13" t="inlineStr">
        <is>
          <t>2025-07-21</t>
        </is>
      </c>
      <c r="C13" s="1" t="n">
        <v>45859</v>
      </c>
      <c r="D13" t="inlineStr"/>
      <c r="E13" t="inlineStr">
        <is>
          <t>Bjurholm</t>
        </is>
      </c>
      <c r="G13" t="n">
        <v>93.3</v>
      </c>
      <c r="H13" t="n">
        <v>6</v>
      </c>
      <c r="I13" t="n">
        <v>9</v>
      </c>
      <c r="J13" t="n">
        <v>11</v>
      </c>
      <c r="K13" t="n">
        <v>2</v>
      </c>
      <c r="L13" t="n">
        <v>0</v>
      </c>
      <c r="M13" t="n">
        <v>0</v>
      </c>
      <c r="N13" t="n">
        <v>0</v>
      </c>
      <c r="O13" t="n">
        <v>13</v>
      </c>
      <c r="P13" t="n">
        <v>2</v>
      </c>
      <c r="Q13" t="n">
        <v>25</v>
      </c>
      <c r="R13" s="2" t="inlineStr">
        <is>
          <t>Doftticka
Fläckporing
Doftskinn
Gammelgransskål
Granticka
Järpe
Lunglav
Rosenticka
Skrovellav
Smålom
Stjärntagging
Ullticka
Violettgrå tagellav
Barkticka
Bårdlav
Gullgröppa
Luddlav
Skinnlav
Skogshakmossa
Stor aspticka
Strutbräken
Stuplav
Orre
Tjäder
Fläcknycklar</t>
        </is>
      </c>
      <c r="S13">
        <f>HYPERLINK("https://klasma.github.io/Logging_FORSKNINGSRESAN_2025_BJURHOLM/artfynd/Vitstensberget artfynd.xlsx", "Vitstensberget")</f>
        <v/>
      </c>
      <c r="T13">
        <f>HYPERLINK("https://klasma.github.io/Logging_FORSKNINGSRESAN_2025_BJURHOLM/kartor/Vitstensberget karta.png", "Vitstensberget")</f>
        <v/>
      </c>
      <c r="V13">
        <f>HYPERLINK("https://klasma.github.io/Logging_FORSKNINGSRESAN_2025_BJURHOLM/klagomål/Vitstensberget FSC-klagomål.docx", "Vitstensberget")</f>
        <v/>
      </c>
      <c r="W13">
        <f>HYPERLINK("https://klasma.github.io/Logging_FORSKNINGSRESAN_2025_BJURHOLM/klagomålsmail/Vitstensberget FSC-klagomål mail.docx", "Vitstensberget")</f>
        <v/>
      </c>
      <c r="X13">
        <f>HYPERLINK("https://klasma.github.io/Logging_FORSKNINGSRESAN_2025_BJURHOLM/tillsyn/Vitstensberget tillsynsbegäran.docx", "Vitstensberget")</f>
        <v/>
      </c>
      <c r="Y13">
        <f>HYPERLINK("https://klasma.github.io/Logging_FORSKNINGSRESAN_2025_BJURHOLM/tillsynsmail/Vitstensberget tillsynsbegäran mail.docx", "Vitstensberget")</f>
        <v/>
      </c>
      <c r="Z13">
        <f>HYPERLINK("https://klasma.github.io/Logging_FORSKNINGSRESAN_2025_BJURHOLM/fåglar/Vitstensberget prioriterade fågelarter.docx", "Vitstensberget")</f>
        <v/>
      </c>
    </row>
    <row r="14" ht="15" customHeight="1">
      <c r="A14" t="inlineStr">
        <is>
          <t>Käringberget SV</t>
        </is>
      </c>
      <c r="B14" t="inlineStr">
        <is>
          <t>2025-07-21</t>
        </is>
      </c>
      <c r="C14" s="1" t="n">
        <v>45859</v>
      </c>
      <c r="D14" t="inlineStr"/>
      <c r="E14" t="inlineStr">
        <is>
          <t>Bjurholm</t>
        </is>
      </c>
      <c r="G14" t="n">
        <v>143.6</v>
      </c>
      <c r="H14" t="n">
        <v>3</v>
      </c>
      <c r="I14" t="n">
        <v>7</v>
      </c>
      <c r="J14" t="n">
        <v>14</v>
      </c>
      <c r="K14" t="n">
        <v>3</v>
      </c>
      <c r="L14" t="n">
        <v>0</v>
      </c>
      <c r="M14" t="n">
        <v>0</v>
      </c>
      <c r="N14" t="n">
        <v>0</v>
      </c>
      <c r="O14" t="n">
        <v>18</v>
      </c>
      <c r="P14" t="n">
        <v>3</v>
      </c>
      <c r="Q14" t="n">
        <v>25</v>
      </c>
      <c r="R14" s="2" t="inlineStr">
        <is>
          <t>Goliatmusseron
Laxgröppa
Smalfotad taggsvamp
Dvärgbägarlav
Garnlav
Granticka
Kolflarnlav
Lunglav
Motaggsvamp
Mörk kolflarnlav
Skrovlig taggsvamp
Småflikig brosklav
Tallvägstekel
Tretåig hackspett
Urskogsvedfluga
Utter
Vaddporing
Tromatobia forsiusi
Björksplintborre
Dropptaggsvamp
Luddlav
Skarp dropptaggsvamp
Skinnlav
Spindelblomster
Vedticka</t>
        </is>
      </c>
      <c r="S14">
        <f>HYPERLINK("https://klasma.github.io/Logging_FORSKNINGSRESAN_2025_BJURHOLM/artfynd/Käringberget SV artfynd.xlsx", "Käringberget SV")</f>
        <v/>
      </c>
      <c r="T14">
        <f>HYPERLINK("https://klasma.github.io/Logging_FORSKNINGSRESAN_2025_BJURHOLM/kartor/Käringberget SV karta.png", "Käringberget SV")</f>
        <v/>
      </c>
      <c r="V14">
        <f>HYPERLINK("https://klasma.github.io/Logging_FORSKNINGSRESAN_2025_BJURHOLM/klagomål/Käringberget SV FSC-klagomål.docx", "Käringberget SV")</f>
        <v/>
      </c>
      <c r="W14">
        <f>HYPERLINK("https://klasma.github.io/Logging_FORSKNINGSRESAN_2025_BJURHOLM/klagomålsmail/Käringberget SV FSC-klagomål mail.docx", "Käringberget SV")</f>
        <v/>
      </c>
      <c r="X14">
        <f>HYPERLINK("https://klasma.github.io/Logging_FORSKNINGSRESAN_2025_BJURHOLM/tillsyn/Käringberget SV tillsynsbegäran.docx", "Käringberget SV")</f>
        <v/>
      </c>
      <c r="Y14">
        <f>HYPERLINK("https://klasma.github.io/Logging_FORSKNINGSRESAN_2025_BJURHOLM/tillsynsmail/Käringberget SV tillsynsbegäran mail.docx", "Käringberget SV")</f>
        <v/>
      </c>
      <c r="Z14">
        <f>HYPERLINK("https://klasma.github.io/Logging_FORSKNINGSRESAN_2025_BJURHOLM/fåglar/Käringberget SV prioriterade fågelarter.docx", "Käringberget SV")</f>
        <v/>
      </c>
    </row>
    <row r="15" ht="15" customHeight="1">
      <c r="A15" t="inlineStr">
        <is>
          <t>Björnberget NV</t>
        </is>
      </c>
      <c r="B15" t="inlineStr">
        <is>
          <t>2025-07-21</t>
        </is>
      </c>
      <c r="C15" s="1" t="n">
        <v>45859</v>
      </c>
      <c r="D15" t="inlineStr"/>
      <c r="E15" t="inlineStr">
        <is>
          <t>Bjurholm</t>
        </is>
      </c>
      <c r="G15" t="n">
        <v>80.59999999999999</v>
      </c>
      <c r="H15" t="n">
        <v>1</v>
      </c>
      <c r="I15" t="n">
        <v>10</v>
      </c>
      <c r="J15" t="n">
        <v>13</v>
      </c>
      <c r="K15" t="n">
        <v>0</v>
      </c>
      <c r="L15" t="n">
        <v>0</v>
      </c>
      <c r="M15" t="n">
        <v>0</v>
      </c>
      <c r="N15" t="n">
        <v>0</v>
      </c>
      <c r="O15" t="n">
        <v>13</v>
      </c>
      <c r="P15" t="n">
        <v>0</v>
      </c>
      <c r="Q15" t="n">
        <v>24</v>
      </c>
      <c r="R15" s="2" t="inlineStr">
        <is>
          <t>Blå taggsvamp
Doftskinn
Garnlav
Granticka
Lunglav
Mörk kolflarnlav
Orange taggsvamp
Skrovlig taggsvamp
Småflikig brosklav
Svart taggsvamp
Tallticka
Ullticka
Violettgrå tagellav
Bronshjon
Bårdlav
Dropptaggsvamp
Korallblylav
Luddlav
Norrlandslav
Skarp dropptaggsvamp
Skuggblåslav
Stuplav
Vedticka
Lavskrika</t>
        </is>
      </c>
      <c r="S15">
        <f>HYPERLINK("https://klasma.github.io/Logging_FORSKNINGSRESAN_2025_BJURHOLM/artfynd/Björnberget NV artfynd.xlsx", "Björnberget NV")</f>
        <v/>
      </c>
      <c r="T15">
        <f>HYPERLINK("https://klasma.github.io/Logging_FORSKNINGSRESAN_2025_BJURHOLM/kartor/Björnberget NV karta.png", "Björnberget NV")</f>
        <v/>
      </c>
      <c r="V15">
        <f>HYPERLINK("https://klasma.github.io/Logging_FORSKNINGSRESAN_2025_BJURHOLM/klagomål/Björnberget NV FSC-klagomål.docx", "Björnberget NV")</f>
        <v/>
      </c>
      <c r="W15">
        <f>HYPERLINK("https://klasma.github.io/Logging_FORSKNINGSRESAN_2025_BJURHOLM/klagomålsmail/Björnberget NV FSC-klagomål mail.docx", "Björnberget NV")</f>
        <v/>
      </c>
      <c r="X15">
        <f>HYPERLINK("https://klasma.github.io/Logging_FORSKNINGSRESAN_2025_BJURHOLM/tillsyn/Björnberget NV tillsynsbegäran.docx", "Björnberget NV")</f>
        <v/>
      </c>
      <c r="Y15">
        <f>HYPERLINK("https://klasma.github.io/Logging_FORSKNINGSRESAN_2025_BJURHOLM/tillsynsmail/Björnberget NV tillsynsbegäran mail.docx", "Björnberget NV")</f>
        <v/>
      </c>
      <c r="Z15">
        <f>HYPERLINK("https://klasma.github.io/Logging_FORSKNINGSRESAN_2025_BJURHOLM/fåglar/Björnberget NV prioriterade fågelarter.docx", "Björnberget NV")</f>
        <v/>
      </c>
    </row>
    <row r="16" ht="15" customHeight="1">
      <c r="A16" t="inlineStr">
        <is>
          <t>Herrbergsliden norr</t>
        </is>
      </c>
      <c r="B16" t="inlineStr">
        <is>
          <t>2025-07-21</t>
        </is>
      </c>
      <c r="C16" s="1" t="n">
        <v>45859</v>
      </c>
      <c r="D16" t="inlineStr"/>
      <c r="E16" t="inlineStr">
        <is>
          <t>Bjurholm</t>
        </is>
      </c>
      <c r="G16" t="n">
        <v>72.59999999999999</v>
      </c>
      <c r="H16" t="n">
        <v>4</v>
      </c>
      <c r="I16" t="n">
        <v>8</v>
      </c>
      <c r="J16" t="n">
        <v>10</v>
      </c>
      <c r="K16" t="n">
        <v>6</v>
      </c>
      <c r="L16" t="n">
        <v>0</v>
      </c>
      <c r="M16" t="n">
        <v>0</v>
      </c>
      <c r="N16" t="n">
        <v>0</v>
      </c>
      <c r="O16" t="n">
        <v>16</v>
      </c>
      <c r="P16" t="n">
        <v>6</v>
      </c>
      <c r="Q16" t="n">
        <v>24</v>
      </c>
      <c r="R16" s="2" t="inlineStr">
        <is>
          <t>Blackticka
Doftticka
Knärot
Lappticka
Rynkskinn
Ulltickeporing
Garnlav
Granticka
Gränsticka
Harticka
Lunglav
Rosenticka
Småflikig brosklav
Tretåig hackspett
Ullticka
Violettgrå tagellav
Bårdlav
Grönpyrola
Korallblylav
Skinnlav
Spindelblomster
Stor aspticka
Stuplav
Vedticka</t>
        </is>
      </c>
      <c r="S16">
        <f>HYPERLINK("https://klasma.github.io/Logging_FORSKNINGSRESAN_2025_BJURHOLM/artfynd/Herrbergsliden norr artfynd.xlsx", "Herrbergsliden norr")</f>
        <v/>
      </c>
      <c r="T16">
        <f>HYPERLINK("https://klasma.github.io/Logging_FORSKNINGSRESAN_2025_BJURHOLM/kartor/Herrbergsliden norr karta.png", "Herrbergsliden norr")</f>
        <v/>
      </c>
      <c r="U16">
        <f>HYPERLINK("https://klasma.github.io/Logging_FORSKNINGSRESAN_2025_BJURHOLM/knärot/Herrbergsliden norr karta knärot.png", "Herrbergsliden norr")</f>
        <v/>
      </c>
      <c r="V16">
        <f>HYPERLINK("https://klasma.github.io/Logging_FORSKNINGSRESAN_2025_BJURHOLM/klagomål/Herrbergsliden norr FSC-klagomål.docx", "Herrbergsliden norr")</f>
        <v/>
      </c>
      <c r="W16">
        <f>HYPERLINK("https://klasma.github.io/Logging_FORSKNINGSRESAN_2025_BJURHOLM/klagomålsmail/Herrbergsliden norr FSC-klagomål mail.docx", "Herrbergsliden norr")</f>
        <v/>
      </c>
      <c r="X16">
        <f>HYPERLINK("https://klasma.github.io/Logging_FORSKNINGSRESAN_2025_BJURHOLM/tillsyn/Herrbergsliden norr tillsynsbegäran.docx", "Herrbergsliden norr")</f>
        <v/>
      </c>
      <c r="Y16">
        <f>HYPERLINK("https://klasma.github.io/Logging_FORSKNINGSRESAN_2025_BJURHOLM/tillsynsmail/Herrbergsliden norr tillsynsbegäran mail.docx", "Herrbergsliden norr")</f>
        <v/>
      </c>
      <c r="Z16">
        <f>HYPERLINK("https://klasma.github.io/Logging_FORSKNINGSRESAN_2025_BJURHOLM/fåglar/Herrbergsliden norr prioriterade fågelarter.docx", "Herrbergsliden norr")</f>
        <v/>
      </c>
    </row>
    <row r="17" ht="15" customHeight="1">
      <c r="A17" t="inlineStr">
        <is>
          <t>Karlstjärnberget</t>
        </is>
      </c>
      <c r="B17" t="inlineStr">
        <is>
          <t>2025-07-21</t>
        </is>
      </c>
      <c r="C17" s="1" t="n">
        <v>45859</v>
      </c>
      <c r="D17" t="inlineStr"/>
      <c r="E17" t="inlineStr">
        <is>
          <t>Bjurholm</t>
        </is>
      </c>
      <c r="G17" t="n">
        <v>56.4</v>
      </c>
      <c r="H17" t="n">
        <v>1</v>
      </c>
      <c r="I17" t="n">
        <v>4</v>
      </c>
      <c r="J17" t="n">
        <v>15</v>
      </c>
      <c r="K17" t="n">
        <v>3</v>
      </c>
      <c r="L17" t="n">
        <v>0</v>
      </c>
      <c r="M17" t="n">
        <v>0</v>
      </c>
      <c r="N17" t="n">
        <v>0</v>
      </c>
      <c r="O17" t="n">
        <v>18</v>
      </c>
      <c r="P17" t="n">
        <v>3</v>
      </c>
      <c r="Q17" t="n">
        <v>23</v>
      </c>
      <c r="R17" s="2" t="inlineStr">
        <is>
          <t>Aspfjädermossa
Aspgelélav
Fläckporing
Blanksvart spiklav
Blå taggsvamp
Garnlav
Kolflarnlav
Koralltaggsvamp
Lunglav
Mörk kolflarnlav
Nordtagging
Orange taggsvamp
Reliktbock
Skrovlig taggsvamp
Stiftgelélav
Stjärntagging
Vaddporing
Violettgrå tagellav
Dropptaggsvamp
Skinnlav
Stor aspticka
Vedticka
Orre</t>
        </is>
      </c>
      <c r="S17">
        <f>HYPERLINK("https://klasma.github.io/Logging_FORSKNINGSRESAN_2025_BJURHOLM/artfynd/Karlstjärnberget artfynd.xlsx", "Karlstjärnberget")</f>
        <v/>
      </c>
      <c r="T17">
        <f>HYPERLINK("https://klasma.github.io/Logging_FORSKNINGSRESAN_2025_BJURHOLM/kartor/Karlstjärnberget karta.png", "Karlstjärnberget")</f>
        <v/>
      </c>
      <c r="V17">
        <f>HYPERLINK("https://klasma.github.io/Logging_FORSKNINGSRESAN_2025_BJURHOLM/klagomål/Karlstjärnberget FSC-klagomål.docx", "Karlstjärnberget")</f>
        <v/>
      </c>
      <c r="W17">
        <f>HYPERLINK("https://klasma.github.io/Logging_FORSKNINGSRESAN_2025_BJURHOLM/klagomålsmail/Karlstjärnberget FSC-klagomål mail.docx", "Karlstjärnberget")</f>
        <v/>
      </c>
      <c r="X17">
        <f>HYPERLINK("https://klasma.github.io/Logging_FORSKNINGSRESAN_2025_BJURHOLM/tillsyn/Karlstjärnberget tillsynsbegäran.docx", "Karlstjärnberget")</f>
        <v/>
      </c>
      <c r="Y17">
        <f>HYPERLINK("https://klasma.github.io/Logging_FORSKNINGSRESAN_2025_BJURHOLM/tillsynsmail/Karlstjärnberget tillsynsbegäran mail.docx", "Karlstjärnberget")</f>
        <v/>
      </c>
      <c r="Z17">
        <f>HYPERLINK("https://klasma.github.io/Logging_FORSKNINGSRESAN_2025_BJURHOLM/fåglar/Karlstjärnberget prioriterade fågelarter.docx", "Karlstjärnberget")</f>
        <v/>
      </c>
    </row>
    <row r="18" ht="15" customHeight="1">
      <c r="A18" t="inlineStr">
        <is>
          <t>Gåsselmyran</t>
        </is>
      </c>
      <c r="B18" t="inlineStr">
        <is>
          <t>2025-07-21</t>
        </is>
      </c>
      <c r="C18" s="1" t="n">
        <v>45859</v>
      </c>
      <c r="D18" t="inlineStr"/>
      <c r="E18" t="inlineStr">
        <is>
          <t>Bjurholm</t>
        </is>
      </c>
      <c r="G18" t="n">
        <v>78.7</v>
      </c>
      <c r="H18" t="n">
        <v>1</v>
      </c>
      <c r="I18" t="n">
        <v>2</v>
      </c>
      <c r="J18" t="n">
        <v>15</v>
      </c>
      <c r="K18" t="n">
        <v>4</v>
      </c>
      <c r="L18" t="n">
        <v>0</v>
      </c>
      <c r="M18" t="n">
        <v>0</v>
      </c>
      <c r="N18" t="n">
        <v>0</v>
      </c>
      <c r="O18" t="n">
        <v>19</v>
      </c>
      <c r="P18" t="n">
        <v>4</v>
      </c>
      <c r="Q18" t="n">
        <v>21</v>
      </c>
      <c r="R18" s="2" t="inlineStr">
        <is>
          <t>Gräddporing
Smalfotad taggsvamp
Spadskinn
Tajgataggsvamp
Blanksvart spiklav
Blå taggsvamp
Blågrå svartspik
Garnlav
Granticka
Gränsticka
Kolflarnlav
Motaggsvamp
Nordtagging
Orange taggsvamp
Skrovlig taggsvamp
Tallticka
Utter
Vaddporing
Vedflamlav
Bollvitmossa
Dropptaggsvamp</t>
        </is>
      </c>
      <c r="S18">
        <f>HYPERLINK("https://klasma.github.io/Logging_FORSKNINGSRESAN_2025_BJURHOLM/artfynd/Gåsselmyran artfynd.xlsx", "Gåsselmyran")</f>
        <v/>
      </c>
      <c r="T18">
        <f>HYPERLINK("https://klasma.github.io/Logging_FORSKNINGSRESAN_2025_BJURHOLM/kartor/Gåsselmyran karta.png", "Gåsselmyran")</f>
        <v/>
      </c>
      <c r="V18">
        <f>HYPERLINK("https://klasma.github.io/Logging_FORSKNINGSRESAN_2025_BJURHOLM/klagomål/Gåsselmyran FSC-klagomål.docx", "Gåsselmyran")</f>
        <v/>
      </c>
      <c r="W18">
        <f>HYPERLINK("https://klasma.github.io/Logging_FORSKNINGSRESAN_2025_BJURHOLM/klagomålsmail/Gåsselmyran FSC-klagomål mail.docx", "Gåsselmyran")</f>
        <v/>
      </c>
      <c r="X18">
        <f>HYPERLINK("https://klasma.github.io/Logging_FORSKNINGSRESAN_2025_BJURHOLM/tillsyn/Gåsselmyran tillsynsbegäran.docx", "Gåsselmyran")</f>
        <v/>
      </c>
      <c r="Y18">
        <f>HYPERLINK("https://klasma.github.io/Logging_FORSKNINGSRESAN_2025_BJURHOLM/tillsynsmail/Gåsselmyran tillsynsbegäran mail.docx", "Gåsselmyran")</f>
        <v/>
      </c>
    </row>
    <row r="19" ht="15" customHeight="1">
      <c r="A19" t="inlineStr">
        <is>
          <t>Stockbäcken</t>
        </is>
      </c>
      <c r="B19" t="inlineStr">
        <is>
          <t>2025-07-21</t>
        </is>
      </c>
      <c r="C19" s="1" t="n">
        <v>45859</v>
      </c>
      <c r="D19" t="inlineStr"/>
      <c r="E19" t="inlineStr">
        <is>
          <t>Bjurholm</t>
        </is>
      </c>
      <c r="G19" t="n">
        <v>63.2</v>
      </c>
      <c r="H19" t="n">
        <v>1</v>
      </c>
      <c r="I19" t="n">
        <v>3</v>
      </c>
      <c r="J19" t="n">
        <v>13</v>
      </c>
      <c r="K19" t="n">
        <v>3</v>
      </c>
      <c r="L19" t="n">
        <v>0</v>
      </c>
      <c r="M19" t="n">
        <v>0</v>
      </c>
      <c r="N19" t="n">
        <v>0</v>
      </c>
      <c r="O19" t="n">
        <v>16</v>
      </c>
      <c r="P19" t="n">
        <v>3</v>
      </c>
      <c r="Q19" t="n">
        <v>20</v>
      </c>
      <c r="R19" s="2" t="inlineStr">
        <is>
          <t>Aspgelélav
Lappticka
Rynkskinn
Blågrå svartspik
Doftskinn
Gammelgransskål
Garnlav
Granticka
Gränsticka
Lunglav
Mörk kolflarnlav
Rödbrun blekspik
Ullticka
Vedflamlav
Vedskivlav
Violettgrå tagellav
Mörk husmossa
Stuplav
Vedticka
Lavskrika</t>
        </is>
      </c>
      <c r="S19">
        <f>HYPERLINK("https://klasma.github.io/Logging_FORSKNINGSRESAN_2025_BJURHOLM/artfynd/Stockbäcken artfynd.xlsx", "Stockbäcken")</f>
        <v/>
      </c>
      <c r="T19">
        <f>HYPERLINK("https://klasma.github.io/Logging_FORSKNINGSRESAN_2025_BJURHOLM/kartor/Stockbäcken karta.png", "Stockbäcken")</f>
        <v/>
      </c>
      <c r="V19">
        <f>HYPERLINK("https://klasma.github.io/Logging_FORSKNINGSRESAN_2025_BJURHOLM/klagomål/Stockbäcken FSC-klagomål.docx", "Stockbäcken")</f>
        <v/>
      </c>
      <c r="W19">
        <f>HYPERLINK("https://klasma.github.io/Logging_FORSKNINGSRESAN_2025_BJURHOLM/klagomålsmail/Stockbäcken FSC-klagomål mail.docx", "Stockbäcken")</f>
        <v/>
      </c>
      <c r="X19">
        <f>HYPERLINK("https://klasma.github.io/Logging_FORSKNINGSRESAN_2025_BJURHOLM/tillsyn/Stockbäcken tillsynsbegäran.docx", "Stockbäcken")</f>
        <v/>
      </c>
      <c r="Y19">
        <f>HYPERLINK("https://klasma.github.io/Logging_FORSKNINGSRESAN_2025_BJURHOLM/tillsynsmail/Stockbäcken tillsynsbegäran mail.docx", "Stockbäcken")</f>
        <v/>
      </c>
      <c r="Z19">
        <f>HYPERLINK("https://klasma.github.io/Logging_FORSKNINGSRESAN_2025_BJURHOLM/fåglar/Stockbäcken prioriterade fågelarter.docx", "Stockbäcken")</f>
        <v/>
      </c>
    </row>
    <row r="20" ht="15" customHeight="1">
      <c r="A20" t="inlineStr">
        <is>
          <t>Rislidtjärnarna</t>
        </is>
      </c>
      <c r="B20" t="inlineStr">
        <is>
          <t>2025-07-21</t>
        </is>
      </c>
      <c r="C20" s="1" t="n">
        <v>45859</v>
      </c>
      <c r="D20" t="inlineStr"/>
      <c r="E20" t="inlineStr">
        <is>
          <t>Bjurholm</t>
        </is>
      </c>
      <c r="G20" t="n">
        <v>121.7</v>
      </c>
      <c r="H20" t="n">
        <v>2</v>
      </c>
      <c r="I20" t="n">
        <v>7</v>
      </c>
      <c r="J20" t="n">
        <v>12</v>
      </c>
      <c r="K20" t="n">
        <v>1</v>
      </c>
      <c r="L20" t="n">
        <v>0</v>
      </c>
      <c r="M20" t="n">
        <v>0</v>
      </c>
      <c r="N20" t="n">
        <v>0</v>
      </c>
      <c r="O20" t="n">
        <v>13</v>
      </c>
      <c r="P20" t="n">
        <v>1</v>
      </c>
      <c r="Q20" t="n">
        <v>20</v>
      </c>
      <c r="R20" s="2" t="inlineStr">
        <is>
          <t>Knärot
Blanksvart spiklav
Brunpudrad nållav
Gammelgransskål
Garnlav
Granticka
Harticka
Kortskaftad ärgspik
Lunglav
Rosenticka
Tretåig hackspett
Ullticka
Violettgrå tagellav
Bårdlav
Gytterlav
Luddlav
Mörk husmossa
Skinnlav
Stuplav
Vedticka</t>
        </is>
      </c>
      <c r="S20">
        <f>HYPERLINK("https://klasma.github.io/Logging_FORSKNINGSRESAN_2025_BJURHOLM/artfynd/Rislidtjärnarna artfynd.xlsx", "Rislidtjärnarna")</f>
        <v/>
      </c>
      <c r="T20">
        <f>HYPERLINK("https://klasma.github.io/Logging_FORSKNINGSRESAN_2025_BJURHOLM/kartor/Rislidtjärnarna karta.png", "Rislidtjärnarna")</f>
        <v/>
      </c>
      <c r="U20">
        <f>HYPERLINK("https://klasma.github.io/Logging_FORSKNINGSRESAN_2025_BJURHOLM/knärot/Rislidtjärnarna karta knärot.png", "Rislidtjärnarna")</f>
        <v/>
      </c>
      <c r="V20">
        <f>HYPERLINK("https://klasma.github.io/Logging_FORSKNINGSRESAN_2025_BJURHOLM/klagomål/Rislidtjärnarna FSC-klagomål.docx", "Rislidtjärnarna")</f>
        <v/>
      </c>
      <c r="W20">
        <f>HYPERLINK("https://klasma.github.io/Logging_FORSKNINGSRESAN_2025_BJURHOLM/klagomålsmail/Rislidtjärnarna FSC-klagomål mail.docx", "Rislidtjärnarna")</f>
        <v/>
      </c>
      <c r="X20">
        <f>HYPERLINK("https://klasma.github.io/Logging_FORSKNINGSRESAN_2025_BJURHOLM/tillsyn/Rislidtjärnarna tillsynsbegäran.docx", "Rislidtjärnarna")</f>
        <v/>
      </c>
      <c r="Y20">
        <f>HYPERLINK("https://klasma.github.io/Logging_FORSKNINGSRESAN_2025_BJURHOLM/tillsynsmail/Rislidtjärnarna tillsynsbegäran mail.docx", "Rislidtjärnarna")</f>
        <v/>
      </c>
      <c r="Z20">
        <f>HYPERLINK("https://klasma.github.io/Logging_FORSKNINGSRESAN_2025_BJURHOLM/fåglar/Rislidtjärnarna prioriterade fågelarter.docx", "Rislidtjärnarna")</f>
        <v/>
      </c>
    </row>
    <row r="21" ht="15" customHeight="1">
      <c r="A21" t="inlineStr">
        <is>
          <t>Kravattensliden</t>
        </is>
      </c>
      <c r="B21" t="inlineStr">
        <is>
          <t>2025-07-21</t>
        </is>
      </c>
      <c r="C21" s="1" t="n">
        <v>45859</v>
      </c>
      <c r="D21" t="inlineStr"/>
      <c r="E21" t="inlineStr">
        <is>
          <t>Bjurholm</t>
        </is>
      </c>
      <c r="G21" t="n">
        <v>535.2</v>
      </c>
      <c r="H21" t="n">
        <v>4</v>
      </c>
      <c r="I21" t="n">
        <v>3</v>
      </c>
      <c r="J21" t="n">
        <v>10</v>
      </c>
      <c r="K21" t="n">
        <v>5</v>
      </c>
      <c r="L21" t="n">
        <v>0</v>
      </c>
      <c r="M21" t="n">
        <v>0</v>
      </c>
      <c r="N21" t="n">
        <v>0</v>
      </c>
      <c r="O21" t="n">
        <v>15</v>
      </c>
      <c r="P21" t="n">
        <v>5</v>
      </c>
      <c r="Q21" t="n">
        <v>20</v>
      </c>
      <c r="R21" s="2" t="inlineStr">
        <is>
          <t>Kristallticka
Lappticka
Långskägg
Ostticka
Rynkskinn
Doftskinn
Granticka
Gränsticka
Harticka
Lunglav
Rosenticka
Tretåig hackspett
Ullticka
Violettgrå tagellav
Violmussling
Blodticka
Trådticka
Vedticka
Lavskrika
Tjäder</t>
        </is>
      </c>
      <c r="S21">
        <f>HYPERLINK("https://klasma.github.io/Logging_FORSKNINGSRESAN_2025_BJURHOLM/artfynd/Kravattensliden artfynd.xlsx", "Kravattensliden")</f>
        <v/>
      </c>
      <c r="T21">
        <f>HYPERLINK("https://klasma.github.io/Logging_FORSKNINGSRESAN_2025_BJURHOLM/kartor/Kravattensliden karta.png", "Kravattensliden")</f>
        <v/>
      </c>
      <c r="V21">
        <f>HYPERLINK("https://klasma.github.io/Logging_FORSKNINGSRESAN_2025_BJURHOLM/klagomål/Kravattensliden FSC-klagomål.docx", "Kravattensliden")</f>
        <v/>
      </c>
      <c r="W21">
        <f>HYPERLINK("https://klasma.github.io/Logging_FORSKNINGSRESAN_2025_BJURHOLM/klagomålsmail/Kravattensliden FSC-klagomål mail.docx", "Kravattensliden")</f>
        <v/>
      </c>
      <c r="X21">
        <f>HYPERLINK("https://klasma.github.io/Logging_FORSKNINGSRESAN_2025_BJURHOLM/tillsyn/Kravattensliden tillsynsbegäran.docx", "Kravattensliden")</f>
        <v/>
      </c>
      <c r="Y21">
        <f>HYPERLINK("https://klasma.github.io/Logging_FORSKNINGSRESAN_2025_BJURHOLM/tillsynsmail/Kravattensliden tillsynsbegäran mail.docx", "Kravattensliden")</f>
        <v/>
      </c>
      <c r="Z21">
        <f>HYPERLINK("https://klasma.github.io/Logging_FORSKNINGSRESAN_2025_BJURHOLM/fåglar/Kravattensliden prioriterade fågelarter.docx", "Kravattensliden")</f>
        <v/>
      </c>
    </row>
    <row r="22" ht="15" customHeight="1">
      <c r="A22" t="inlineStr">
        <is>
          <t>Baksjökullen</t>
        </is>
      </c>
      <c r="B22" t="inlineStr">
        <is>
          <t>2025-07-21</t>
        </is>
      </c>
      <c r="C22" s="1" t="n">
        <v>45859</v>
      </c>
      <c r="D22" t="inlineStr"/>
      <c r="E22" t="inlineStr">
        <is>
          <t>Bjurholm</t>
        </is>
      </c>
      <c r="G22" t="n">
        <v>152.1</v>
      </c>
      <c r="H22" t="n">
        <v>1</v>
      </c>
      <c r="I22" t="n">
        <v>3</v>
      </c>
      <c r="J22" t="n">
        <v>13</v>
      </c>
      <c r="K22" t="n">
        <v>3</v>
      </c>
      <c r="L22" t="n">
        <v>1</v>
      </c>
      <c r="M22" t="n">
        <v>0</v>
      </c>
      <c r="N22" t="n">
        <v>0</v>
      </c>
      <c r="O22" t="n">
        <v>17</v>
      </c>
      <c r="P22" t="n">
        <v>4</v>
      </c>
      <c r="Q22" t="n">
        <v>20</v>
      </c>
      <c r="R22" s="2" t="inlineStr">
        <is>
          <t>Urskogsporing
Doftticka
Fläckporing
Gräddporing
Blanksvart spiklav
Dvärgbägarlav
Garnlav
Kolflarnlav
Lunglav
Motaggsvamp
Mörk kolflarnlav
Skrovellav
Talltaggsvamp
Ullticka
Vaddporing
Vedskivlav
Vitplätt
Bårdlav
Dropptaggsvamp
Luddlav</t>
        </is>
      </c>
      <c r="S22">
        <f>HYPERLINK("https://klasma.github.io/Logging_FORSKNINGSRESAN_2025_BJURHOLM/artfynd/Baksjökullen artfynd.xlsx", "Baksjökullen")</f>
        <v/>
      </c>
      <c r="T22">
        <f>HYPERLINK("https://klasma.github.io/Logging_FORSKNINGSRESAN_2025_BJURHOLM/kartor/Baksjökullen karta.png", "Baksjökullen")</f>
        <v/>
      </c>
      <c r="V22">
        <f>HYPERLINK("https://klasma.github.io/Logging_FORSKNINGSRESAN_2025_BJURHOLM/klagomål/Baksjökullen FSC-klagomål.docx", "Baksjökullen")</f>
        <v/>
      </c>
      <c r="W22">
        <f>HYPERLINK("https://klasma.github.io/Logging_FORSKNINGSRESAN_2025_BJURHOLM/klagomålsmail/Baksjökullen FSC-klagomål mail.docx", "Baksjökullen")</f>
        <v/>
      </c>
      <c r="X22">
        <f>HYPERLINK("https://klasma.github.io/Logging_FORSKNINGSRESAN_2025_BJURHOLM/tillsyn/Baksjökullen tillsynsbegäran.docx", "Baksjökullen")</f>
        <v/>
      </c>
      <c r="Y22">
        <f>HYPERLINK("https://klasma.github.io/Logging_FORSKNINGSRESAN_2025_BJURHOLM/tillsynsmail/Baksjökullen tillsynsbegäran mail.docx", "Baksjökullen")</f>
        <v/>
      </c>
    </row>
    <row r="23" ht="15" customHeight="1">
      <c r="A23" t="inlineStr">
        <is>
          <t>Stormyrbäcken</t>
        </is>
      </c>
      <c r="B23" t="inlineStr">
        <is>
          <t>2025-07-21</t>
        </is>
      </c>
      <c r="C23" s="1" t="n">
        <v>45859</v>
      </c>
      <c r="D23" t="inlineStr"/>
      <c r="E23" t="inlineStr">
        <is>
          <t>Bjurholm</t>
        </is>
      </c>
      <c r="G23" t="n">
        <v>14</v>
      </c>
      <c r="H23" t="n">
        <v>3</v>
      </c>
      <c r="I23" t="n">
        <v>4</v>
      </c>
      <c r="J23" t="n">
        <v>10</v>
      </c>
      <c r="K23" t="n">
        <v>4</v>
      </c>
      <c r="L23" t="n">
        <v>1</v>
      </c>
      <c r="M23" t="n">
        <v>0</v>
      </c>
      <c r="N23" t="n">
        <v>0</v>
      </c>
      <c r="O23" t="n">
        <v>15</v>
      </c>
      <c r="P23" t="n">
        <v>5</v>
      </c>
      <c r="Q23" t="n">
        <v>19</v>
      </c>
      <c r="R23" s="2" t="inlineStr">
        <is>
          <t>Trådbrosklav
Gräddticka
Knärot
Rynkskinn
Ulltickeporing
Garnlav
Granticka
Leptoporus mollis
Rosenticka
Stjärntagging
Tallticka
Talltita
Tretåig hackspett
Ullticka
Vitgrynig nållav
Bollvitmossa
Källmossa
Mörk husmossa
Trådticka</t>
        </is>
      </c>
      <c r="S23">
        <f>HYPERLINK("https://klasma.github.io/Logging_FORSKNINGSRESAN_2025_BJURHOLM/artfynd/Stormyrbäcken artfynd.xlsx", "Stormyrbäcken")</f>
        <v/>
      </c>
      <c r="T23">
        <f>HYPERLINK("https://klasma.github.io/Logging_FORSKNINGSRESAN_2025_BJURHOLM/kartor/Stormyrbäcken karta.png", "Stormyrbäcken")</f>
        <v/>
      </c>
      <c r="U23">
        <f>HYPERLINK("https://klasma.github.io/Logging_FORSKNINGSRESAN_2025_BJURHOLM/knärot/Stormyrbäcken karta knärot.png", "Stormyrbäcken")</f>
        <v/>
      </c>
      <c r="V23">
        <f>HYPERLINK("https://klasma.github.io/Logging_FORSKNINGSRESAN_2025_BJURHOLM/klagomål/Stormyrbäcken FSC-klagomål.docx", "Stormyrbäcken")</f>
        <v/>
      </c>
      <c r="W23">
        <f>HYPERLINK("https://klasma.github.io/Logging_FORSKNINGSRESAN_2025_BJURHOLM/klagomålsmail/Stormyrbäcken FSC-klagomål mail.docx", "Stormyrbäcken")</f>
        <v/>
      </c>
      <c r="X23">
        <f>HYPERLINK("https://klasma.github.io/Logging_FORSKNINGSRESAN_2025_BJURHOLM/tillsyn/Stormyrbäcken tillsynsbegäran.docx", "Stormyrbäcken")</f>
        <v/>
      </c>
      <c r="Y23">
        <f>HYPERLINK("https://klasma.github.io/Logging_FORSKNINGSRESAN_2025_BJURHOLM/tillsynsmail/Stormyrbäcken tillsynsbegäran mail.docx", "Stormyrbäcken")</f>
        <v/>
      </c>
      <c r="Z23">
        <f>HYPERLINK("https://klasma.github.io/Logging_FORSKNINGSRESAN_2025_BJURHOLM/fåglar/Stormyrbäcken prioriterade fågelarter.docx", "Stormyrbäcken")</f>
        <v/>
      </c>
    </row>
    <row r="24" ht="15" customHeight="1">
      <c r="A24" t="inlineStr">
        <is>
          <t>Holmtjärnen</t>
        </is>
      </c>
      <c r="B24" t="inlineStr">
        <is>
          <t>2025-07-21</t>
        </is>
      </c>
      <c r="C24" s="1" t="n">
        <v>45859</v>
      </c>
      <c r="D24" t="inlineStr"/>
      <c r="E24" t="inlineStr">
        <is>
          <t>Bjurholm</t>
        </is>
      </c>
      <c r="G24" t="n">
        <v>105.2</v>
      </c>
      <c r="H24" t="n">
        <v>1</v>
      </c>
      <c r="I24" t="n">
        <v>1</v>
      </c>
      <c r="J24" t="n">
        <v>14</v>
      </c>
      <c r="K24" t="n">
        <v>3</v>
      </c>
      <c r="L24" t="n">
        <v>0</v>
      </c>
      <c r="M24" t="n">
        <v>0</v>
      </c>
      <c r="N24" t="n">
        <v>0</v>
      </c>
      <c r="O24" t="n">
        <v>17</v>
      </c>
      <c r="P24" t="n">
        <v>3</v>
      </c>
      <c r="Q24" t="n">
        <v>18</v>
      </c>
      <c r="R24" s="2" t="inlineStr">
        <is>
          <t>Fläckporing
Goliatmusseron
Gräddporing
Blå taggsvamp
Dvärgbägarlav
Garnlav
Gränsticka
Kolflarnlav
Lunglav
Nordtagging
Reliktbock
Skrovellav
Skrovlig taggsvamp
Talltita
Vaddporing
Vedflamlav
Vedskivlav
Bårdlav</t>
        </is>
      </c>
      <c r="S24">
        <f>HYPERLINK("https://klasma.github.io/Logging_FORSKNINGSRESAN_2025_BJURHOLM/artfynd/Holmtjärnen artfynd.xlsx", "Holmtjärnen")</f>
        <v/>
      </c>
      <c r="T24">
        <f>HYPERLINK("https://klasma.github.io/Logging_FORSKNINGSRESAN_2025_BJURHOLM/kartor/Holmtjärnen karta.png", "Holmtjärnen")</f>
        <v/>
      </c>
      <c r="V24">
        <f>HYPERLINK("https://klasma.github.io/Logging_FORSKNINGSRESAN_2025_BJURHOLM/klagomål/Holmtjärnen FSC-klagomål.docx", "Holmtjärnen")</f>
        <v/>
      </c>
      <c r="W24">
        <f>HYPERLINK("https://klasma.github.io/Logging_FORSKNINGSRESAN_2025_BJURHOLM/klagomålsmail/Holmtjärnen FSC-klagomål mail.docx", "Holmtjärnen")</f>
        <v/>
      </c>
      <c r="X24">
        <f>HYPERLINK("https://klasma.github.io/Logging_FORSKNINGSRESAN_2025_BJURHOLM/tillsyn/Holmtjärnen tillsynsbegäran.docx", "Holmtjärnen")</f>
        <v/>
      </c>
      <c r="Y24">
        <f>HYPERLINK("https://klasma.github.io/Logging_FORSKNINGSRESAN_2025_BJURHOLM/tillsynsmail/Holmtjärnen tillsynsbegäran mail.docx", "Holmtjärnen")</f>
        <v/>
      </c>
      <c r="Z24">
        <f>HYPERLINK("https://klasma.github.io/Logging_FORSKNINGSRESAN_2025_BJURHOLM/fåglar/Holmtjärnen prioriterade fågelarter.docx", "Holmtjärnen")</f>
        <v/>
      </c>
    </row>
    <row r="25" ht="15" customHeight="1">
      <c r="A25" t="inlineStr">
        <is>
          <t>Lögdaselet</t>
        </is>
      </c>
      <c r="B25" t="inlineStr">
        <is>
          <t>2025-07-21</t>
        </is>
      </c>
      <c r="C25" s="1" t="n">
        <v>45859</v>
      </c>
      <c r="D25" t="inlineStr"/>
      <c r="E25" t="inlineStr">
        <is>
          <t>Bjurholm</t>
        </is>
      </c>
      <c r="G25" t="n">
        <v>166.5</v>
      </c>
      <c r="H25" t="n">
        <v>4</v>
      </c>
      <c r="I25" t="n">
        <v>3</v>
      </c>
      <c r="J25" t="n">
        <v>12</v>
      </c>
      <c r="K25" t="n">
        <v>1</v>
      </c>
      <c r="L25" t="n">
        <v>0</v>
      </c>
      <c r="M25" t="n">
        <v>0</v>
      </c>
      <c r="N25" t="n">
        <v>0</v>
      </c>
      <c r="O25" t="n">
        <v>13</v>
      </c>
      <c r="P25" t="n">
        <v>1</v>
      </c>
      <c r="Q25" t="n">
        <v>17</v>
      </c>
      <c r="R25" s="2" t="inlineStr">
        <is>
          <t>Knärot
Blanksvart spiklav
Dvärgbägarlav
Gammelgransskål
Garnlav
Liten svartspik
Lunglav
Mörk kolflarnlav
Spillkråka
Tretåig hackspett
Vedflamlav
Vedskivlav
Vitgrynig nållav
Luddlav
Norrlandslav
Stuplav
Fläcknycklar</t>
        </is>
      </c>
      <c r="S25">
        <f>HYPERLINK("https://klasma.github.io/Logging_FORSKNINGSRESAN_2025_BJURHOLM/artfynd/Lögdaselet artfynd.xlsx", "Lögdaselet")</f>
        <v/>
      </c>
      <c r="T25">
        <f>HYPERLINK("https://klasma.github.io/Logging_FORSKNINGSRESAN_2025_BJURHOLM/kartor/Lögdaselet karta.png", "Lögdaselet")</f>
        <v/>
      </c>
      <c r="U25">
        <f>HYPERLINK("https://klasma.github.io/Logging_FORSKNINGSRESAN_2025_BJURHOLM/knärot/Lögdaselet karta knärot.png", "Lögdaselet")</f>
        <v/>
      </c>
      <c r="V25">
        <f>HYPERLINK("https://klasma.github.io/Logging_FORSKNINGSRESAN_2025_BJURHOLM/klagomål/Lögdaselet FSC-klagomål.docx", "Lögdaselet")</f>
        <v/>
      </c>
      <c r="W25">
        <f>HYPERLINK("https://klasma.github.io/Logging_FORSKNINGSRESAN_2025_BJURHOLM/klagomålsmail/Lögdaselet FSC-klagomål mail.docx", "Lögdaselet")</f>
        <v/>
      </c>
      <c r="X25">
        <f>HYPERLINK("https://klasma.github.io/Logging_FORSKNINGSRESAN_2025_BJURHOLM/tillsyn/Lögdaselet tillsynsbegäran.docx", "Lögdaselet")</f>
        <v/>
      </c>
      <c r="Y25">
        <f>HYPERLINK("https://klasma.github.io/Logging_FORSKNINGSRESAN_2025_BJURHOLM/tillsynsmail/Lögdaselet tillsynsbegäran mail.docx", "Lögdaselet")</f>
        <v/>
      </c>
      <c r="Z25">
        <f>HYPERLINK("https://klasma.github.io/Logging_FORSKNINGSRESAN_2025_BJURHOLM/fåglar/Lögdaselet prioriterade fågelarter.docx", "Lögdaselet")</f>
        <v/>
      </c>
    </row>
    <row r="26" ht="15" customHeight="1">
      <c r="A26" t="inlineStr">
        <is>
          <t>Björnberget SV</t>
        </is>
      </c>
      <c r="B26" t="inlineStr">
        <is>
          <t>2025-07-21</t>
        </is>
      </c>
      <c r="C26" s="1" t="n">
        <v>45859</v>
      </c>
      <c r="D26" t="inlineStr"/>
      <c r="E26" t="inlineStr">
        <is>
          <t>Bjurholm</t>
        </is>
      </c>
      <c r="G26" t="n">
        <v>57.7</v>
      </c>
      <c r="H26" t="n">
        <v>2</v>
      </c>
      <c r="I26" t="n">
        <v>4</v>
      </c>
      <c r="J26" t="n">
        <v>10</v>
      </c>
      <c r="K26" t="n">
        <v>0</v>
      </c>
      <c r="L26" t="n">
        <v>0</v>
      </c>
      <c r="M26" t="n">
        <v>0</v>
      </c>
      <c r="N26" t="n">
        <v>0</v>
      </c>
      <c r="O26" t="n">
        <v>10</v>
      </c>
      <c r="P26" t="n">
        <v>0</v>
      </c>
      <c r="Q26" t="n">
        <v>16</v>
      </c>
      <c r="R26" s="2" t="inlineStr">
        <is>
          <t>Dvärgbägarlav
Gammelgransskål
Garnlav
Lunglav
Mörk kolflarnlav
Nordtagging
Orange taggsvamp
Reliktbock
Skrovlig taggsvamp
Svart taggsvamp
Bårdlav
Dropptaggsvamp
Stor aspticka
Stuplav
Göktyta
Kungsfågel</t>
        </is>
      </c>
      <c r="S26">
        <f>HYPERLINK("https://klasma.github.io/Logging_FORSKNINGSRESAN_2025_BJURHOLM/artfynd/Björnberget SV artfynd.xlsx", "Björnberget SV")</f>
        <v/>
      </c>
      <c r="T26">
        <f>HYPERLINK("https://klasma.github.io/Logging_FORSKNINGSRESAN_2025_BJURHOLM/kartor/Björnberget SV karta.png", "Björnberget SV")</f>
        <v/>
      </c>
      <c r="V26">
        <f>HYPERLINK("https://klasma.github.io/Logging_FORSKNINGSRESAN_2025_BJURHOLM/klagomål/Björnberget SV FSC-klagomål.docx", "Björnberget SV")</f>
        <v/>
      </c>
      <c r="W26">
        <f>HYPERLINK("https://klasma.github.io/Logging_FORSKNINGSRESAN_2025_BJURHOLM/klagomålsmail/Björnberget SV FSC-klagomål mail.docx", "Björnberget SV")</f>
        <v/>
      </c>
      <c r="X26">
        <f>HYPERLINK("https://klasma.github.io/Logging_FORSKNINGSRESAN_2025_BJURHOLM/tillsyn/Björnberget SV tillsynsbegäran.docx", "Björnberget SV")</f>
        <v/>
      </c>
      <c r="Y26">
        <f>HYPERLINK("https://klasma.github.io/Logging_FORSKNINGSRESAN_2025_BJURHOLM/tillsynsmail/Björnberget SV tillsynsbegäran mail.docx", "Björnberget SV")</f>
        <v/>
      </c>
      <c r="Z26">
        <f>HYPERLINK("https://klasma.github.io/Logging_FORSKNINGSRESAN_2025_BJURHOLM/fåglar/Björnberget SV prioriterade fågelarter.docx", "Björnberget SV")</f>
        <v/>
      </c>
    </row>
    <row r="27" ht="15" customHeight="1">
      <c r="A27" t="inlineStr">
        <is>
          <t>Gålgoberget</t>
        </is>
      </c>
      <c r="B27" t="inlineStr">
        <is>
          <t>2025-07-21</t>
        </is>
      </c>
      <c r="C27" s="1" t="n">
        <v>45859</v>
      </c>
      <c r="D27" t="inlineStr"/>
      <c r="E27" t="inlineStr">
        <is>
          <t>Bjurholm</t>
        </is>
      </c>
      <c r="G27" t="n">
        <v>57.1</v>
      </c>
      <c r="H27" t="n">
        <v>2</v>
      </c>
      <c r="I27" t="n">
        <v>4</v>
      </c>
      <c r="J27" t="n">
        <v>10</v>
      </c>
      <c r="K27" t="n">
        <v>1</v>
      </c>
      <c r="L27" t="n">
        <v>0</v>
      </c>
      <c r="M27" t="n">
        <v>0</v>
      </c>
      <c r="N27" t="n">
        <v>0</v>
      </c>
      <c r="O27" t="n">
        <v>11</v>
      </c>
      <c r="P27" t="n">
        <v>1</v>
      </c>
      <c r="Q27" t="n">
        <v>16</v>
      </c>
      <c r="R27" s="2" t="inlineStr">
        <is>
          <t>Knärot
Blanksvart spiklav
Blågrå svartspik
Gammelgransskål
Garnlav
Granticka
Lunglav
Skrovellav
Ullticka
Vedtrappmossa
Violettgrå tagellav
Luddlav
Mörk husmossa
Stuplav
Vedticka
Lavskrika</t>
        </is>
      </c>
      <c r="S27">
        <f>HYPERLINK("https://klasma.github.io/Logging_FORSKNINGSRESAN_2025_BJURHOLM/artfynd/Gålgoberget artfynd.xlsx", "Gålgoberget")</f>
        <v/>
      </c>
      <c r="T27">
        <f>HYPERLINK("https://klasma.github.io/Logging_FORSKNINGSRESAN_2025_BJURHOLM/kartor/Gålgoberget karta.png", "Gålgoberget")</f>
        <v/>
      </c>
      <c r="U27">
        <f>HYPERLINK("https://klasma.github.io/Logging_FORSKNINGSRESAN_2025_BJURHOLM/knärot/Gålgoberget karta knärot.png", "Gålgoberget")</f>
        <v/>
      </c>
      <c r="V27">
        <f>HYPERLINK("https://klasma.github.io/Logging_FORSKNINGSRESAN_2025_BJURHOLM/klagomål/Gålgoberget FSC-klagomål.docx", "Gålgoberget")</f>
        <v/>
      </c>
      <c r="W27">
        <f>HYPERLINK("https://klasma.github.io/Logging_FORSKNINGSRESAN_2025_BJURHOLM/klagomålsmail/Gålgoberget FSC-klagomål mail.docx", "Gålgoberget")</f>
        <v/>
      </c>
      <c r="X27">
        <f>HYPERLINK("https://klasma.github.io/Logging_FORSKNINGSRESAN_2025_BJURHOLM/tillsyn/Gålgoberget tillsynsbegäran.docx", "Gålgoberget")</f>
        <v/>
      </c>
      <c r="Y27">
        <f>HYPERLINK("https://klasma.github.io/Logging_FORSKNINGSRESAN_2025_BJURHOLM/tillsynsmail/Gålgoberget tillsynsbegäran mail.docx", "Gålgoberget")</f>
        <v/>
      </c>
      <c r="Z27">
        <f>HYPERLINK("https://klasma.github.io/Logging_FORSKNINGSRESAN_2025_BJURHOLM/fåglar/Gålgoberget prioriterade fågelarter.docx", "Gålgoberget")</f>
        <v/>
      </c>
    </row>
    <row r="28" ht="15" customHeight="1">
      <c r="A28" t="inlineStr">
        <is>
          <t>Aspmyrbäcken</t>
        </is>
      </c>
      <c r="B28" t="inlineStr">
        <is>
          <t>2025-07-21</t>
        </is>
      </c>
      <c r="C28" s="1" t="n">
        <v>45859</v>
      </c>
      <c r="D28" t="inlineStr"/>
      <c r="E28" t="inlineStr">
        <is>
          <t>Bjurholm</t>
        </is>
      </c>
      <c r="G28" t="n">
        <v>356.4</v>
      </c>
      <c r="H28" t="n">
        <v>1</v>
      </c>
      <c r="I28" t="n">
        <v>4</v>
      </c>
      <c r="J28" t="n">
        <v>9</v>
      </c>
      <c r="K28" t="n">
        <v>3</v>
      </c>
      <c r="L28" t="n">
        <v>0</v>
      </c>
      <c r="M28" t="n">
        <v>0</v>
      </c>
      <c r="N28" t="n">
        <v>0</v>
      </c>
      <c r="O28" t="n">
        <v>12</v>
      </c>
      <c r="P28" t="n">
        <v>3</v>
      </c>
      <c r="Q28" t="n">
        <v>16</v>
      </c>
      <c r="R28" s="2" t="inlineStr">
        <is>
          <t>Lappticka
Ostticka
Rynkskinn
Doftskinn
Garnlav
Granticka
Lunglav
Rosenticka
Skrovellav
Tretåig hackspett
Ullticka
Violmussling
Bollvitmossa
Skinnlav
Stuplav
Trådticka</t>
        </is>
      </c>
      <c r="S28">
        <f>HYPERLINK("https://klasma.github.io/Logging_FORSKNINGSRESAN_2025_BJURHOLM/artfynd/Aspmyrbäcken artfynd.xlsx", "Aspmyrbäcken")</f>
        <v/>
      </c>
      <c r="T28">
        <f>HYPERLINK("https://klasma.github.io/Logging_FORSKNINGSRESAN_2025_BJURHOLM/kartor/Aspmyrbäcken karta.png", "Aspmyrbäcken")</f>
        <v/>
      </c>
      <c r="V28">
        <f>HYPERLINK("https://klasma.github.io/Logging_FORSKNINGSRESAN_2025_BJURHOLM/klagomål/Aspmyrbäcken FSC-klagomål.docx", "Aspmyrbäcken")</f>
        <v/>
      </c>
      <c r="W28">
        <f>HYPERLINK("https://klasma.github.io/Logging_FORSKNINGSRESAN_2025_BJURHOLM/klagomålsmail/Aspmyrbäcken FSC-klagomål mail.docx", "Aspmyrbäcken")</f>
        <v/>
      </c>
      <c r="X28">
        <f>HYPERLINK("https://klasma.github.io/Logging_FORSKNINGSRESAN_2025_BJURHOLM/tillsyn/Aspmyrbäcken tillsynsbegäran.docx", "Aspmyrbäcken")</f>
        <v/>
      </c>
      <c r="Y28">
        <f>HYPERLINK("https://klasma.github.io/Logging_FORSKNINGSRESAN_2025_BJURHOLM/tillsynsmail/Aspmyrbäcken tillsynsbegäran mail.docx", "Aspmyrbäcken")</f>
        <v/>
      </c>
      <c r="Z28">
        <f>HYPERLINK("https://klasma.github.io/Logging_FORSKNINGSRESAN_2025_BJURHOLM/fåglar/Aspmyrbäcken prioriterade fågelarter.docx", "Aspmyrbäcken")</f>
        <v/>
      </c>
    </row>
    <row r="29" ht="15" customHeight="1">
      <c r="A29" t="inlineStr">
        <is>
          <t>Gubbmyran</t>
        </is>
      </c>
      <c r="B29" t="inlineStr">
        <is>
          <t>2025-07-21</t>
        </is>
      </c>
      <c r="C29" s="1" t="n">
        <v>45859</v>
      </c>
      <c r="D29" t="inlineStr"/>
      <c r="E29" t="inlineStr">
        <is>
          <t>Bjurholm</t>
        </is>
      </c>
      <c r="G29" t="n">
        <v>186</v>
      </c>
      <c r="H29" t="n">
        <v>0</v>
      </c>
      <c r="I29" t="n">
        <v>2</v>
      </c>
      <c r="J29" t="n">
        <v>11</v>
      </c>
      <c r="K29" t="n">
        <v>3</v>
      </c>
      <c r="L29" t="n">
        <v>0</v>
      </c>
      <c r="M29" t="n">
        <v>0</v>
      </c>
      <c r="N29" t="n">
        <v>0</v>
      </c>
      <c r="O29" t="n">
        <v>14</v>
      </c>
      <c r="P29" t="n">
        <v>3</v>
      </c>
      <c r="Q29" t="n">
        <v>16</v>
      </c>
      <c r="R29" s="2" t="inlineStr">
        <is>
          <t>Lappticka
Liten sotlav
Rynkskinn
Doftskinn
Gammelgransskål
Garnlav
Granticka
Gränsticka
Harticka
Rosenticka
Rödbrun blekspik
Ullticka
Violettgrå tagellav
Vitskaftad svartspik
Blodticka
Trådticka</t>
        </is>
      </c>
      <c r="S29">
        <f>HYPERLINK("https://klasma.github.io/Logging_FORSKNINGSRESAN_2025_BJURHOLM/artfynd/Gubbmyran artfynd.xlsx", "Gubbmyran")</f>
        <v/>
      </c>
      <c r="T29">
        <f>HYPERLINK("https://klasma.github.io/Logging_FORSKNINGSRESAN_2025_BJURHOLM/kartor/Gubbmyran karta.png", "Gubbmyran")</f>
        <v/>
      </c>
      <c r="V29">
        <f>HYPERLINK("https://klasma.github.io/Logging_FORSKNINGSRESAN_2025_BJURHOLM/klagomål/Gubbmyran FSC-klagomål.docx", "Gubbmyran")</f>
        <v/>
      </c>
      <c r="W29">
        <f>HYPERLINK("https://klasma.github.io/Logging_FORSKNINGSRESAN_2025_BJURHOLM/klagomålsmail/Gubbmyran FSC-klagomål mail.docx", "Gubbmyran")</f>
        <v/>
      </c>
      <c r="X29">
        <f>HYPERLINK("https://klasma.github.io/Logging_FORSKNINGSRESAN_2025_BJURHOLM/tillsyn/Gubbmyran tillsynsbegäran.docx", "Gubbmyran")</f>
        <v/>
      </c>
      <c r="Y29">
        <f>HYPERLINK("https://klasma.github.io/Logging_FORSKNINGSRESAN_2025_BJURHOLM/tillsynsmail/Gubbmyran tillsynsbegäran mail.docx", "Gubbmyran")</f>
        <v/>
      </c>
    </row>
    <row r="30" ht="15" customHeight="1">
      <c r="A30" t="inlineStr">
        <is>
          <t>Kälkåsen</t>
        </is>
      </c>
      <c r="B30" t="inlineStr">
        <is>
          <t>2025-07-21</t>
        </is>
      </c>
      <c r="C30" s="1" t="n">
        <v>45859</v>
      </c>
      <c r="D30" t="inlineStr"/>
      <c r="E30" t="inlineStr">
        <is>
          <t>Bjurholm</t>
        </is>
      </c>
      <c r="G30" t="n">
        <v>58.4</v>
      </c>
      <c r="H30" t="n">
        <v>2</v>
      </c>
      <c r="I30" t="n">
        <v>5</v>
      </c>
      <c r="J30" t="n">
        <v>7</v>
      </c>
      <c r="K30" t="n">
        <v>3</v>
      </c>
      <c r="L30" t="n">
        <v>0</v>
      </c>
      <c r="M30" t="n">
        <v>0</v>
      </c>
      <c r="N30" t="n">
        <v>0</v>
      </c>
      <c r="O30" t="n">
        <v>10</v>
      </c>
      <c r="P30" t="n">
        <v>3</v>
      </c>
      <c r="Q30" t="n">
        <v>15</v>
      </c>
      <c r="R30" s="2" t="inlineStr">
        <is>
          <t>Fläckporing
Gräddporing
Knärot
Dvärgbägarlav
Gammelgransskål
Garnlav
Granticka
Lunglav
Tretåig hackspett
Vedskivlav
Dropptaggsvamp
Luddlav
Skarp dropptaggsvamp
Stuplav
Vedticka</t>
        </is>
      </c>
      <c r="S30">
        <f>HYPERLINK("https://klasma.github.io/Logging_FORSKNINGSRESAN_2025_BJURHOLM/artfynd/Kälkåsen artfynd.xlsx", "Kälkåsen")</f>
        <v/>
      </c>
      <c r="T30">
        <f>HYPERLINK("https://klasma.github.io/Logging_FORSKNINGSRESAN_2025_BJURHOLM/kartor/Kälkåsen karta.png", "Kälkåsen")</f>
        <v/>
      </c>
      <c r="U30">
        <f>HYPERLINK("https://klasma.github.io/Logging_FORSKNINGSRESAN_2025_BJURHOLM/knärot/Kälkåsen karta knärot.png", "Kälkåsen")</f>
        <v/>
      </c>
      <c r="V30">
        <f>HYPERLINK("https://klasma.github.io/Logging_FORSKNINGSRESAN_2025_BJURHOLM/klagomål/Kälkåsen FSC-klagomål.docx", "Kälkåsen")</f>
        <v/>
      </c>
      <c r="W30">
        <f>HYPERLINK("https://klasma.github.io/Logging_FORSKNINGSRESAN_2025_BJURHOLM/klagomålsmail/Kälkåsen FSC-klagomål mail.docx", "Kälkåsen")</f>
        <v/>
      </c>
      <c r="X30">
        <f>HYPERLINK("https://klasma.github.io/Logging_FORSKNINGSRESAN_2025_BJURHOLM/tillsyn/Kälkåsen tillsynsbegäran.docx", "Kälkåsen")</f>
        <v/>
      </c>
      <c r="Y30">
        <f>HYPERLINK("https://klasma.github.io/Logging_FORSKNINGSRESAN_2025_BJURHOLM/tillsynsmail/Kälkåsen tillsynsbegäran mail.docx", "Kälkåsen")</f>
        <v/>
      </c>
      <c r="Z30">
        <f>HYPERLINK("https://klasma.github.io/Logging_FORSKNINGSRESAN_2025_BJURHOLM/fåglar/Kälkåsen prioriterade fågelarter.docx", "Kälkåsen")</f>
        <v/>
      </c>
    </row>
    <row r="31" ht="15" customHeight="1">
      <c r="A31" t="inlineStr">
        <is>
          <t>Trollberget</t>
        </is>
      </c>
      <c r="B31" t="inlineStr">
        <is>
          <t>2025-07-21</t>
        </is>
      </c>
      <c r="C31" s="1" t="n">
        <v>45859</v>
      </c>
      <c r="D31" t="inlineStr"/>
      <c r="E31" t="inlineStr">
        <is>
          <t>Bjurholm</t>
        </is>
      </c>
      <c r="G31" t="n">
        <v>110.6</v>
      </c>
      <c r="H31" t="n">
        <v>0</v>
      </c>
      <c r="I31" t="n">
        <v>6</v>
      </c>
      <c r="J31" t="n">
        <v>9</v>
      </c>
      <c r="K31" t="n">
        <v>0</v>
      </c>
      <c r="L31" t="n">
        <v>0</v>
      </c>
      <c r="M31" t="n">
        <v>0</v>
      </c>
      <c r="N31" t="n">
        <v>0</v>
      </c>
      <c r="O31" t="n">
        <v>9</v>
      </c>
      <c r="P31" t="n">
        <v>0</v>
      </c>
      <c r="Q31" t="n">
        <v>15</v>
      </c>
      <c r="R31" s="2" t="inlineStr">
        <is>
          <t>Doftskinn
Granticka
Gränsticka
Lunglav
Rosenticka
Stjärntagging
Tallticka
Ullticka
Violettgrå tagellav
Aspvedgnagare
Bårdlav
Rävticka
Skinnlav
Stor aspticka
Stuplav</t>
        </is>
      </c>
      <c r="S31">
        <f>HYPERLINK("https://klasma.github.io/Logging_FORSKNINGSRESAN_2025_BJURHOLM/artfynd/Trollberget artfynd.xlsx", "Trollberget")</f>
        <v/>
      </c>
      <c r="T31">
        <f>HYPERLINK("https://klasma.github.io/Logging_FORSKNINGSRESAN_2025_BJURHOLM/kartor/Trollberget karta.png", "Trollberget")</f>
        <v/>
      </c>
      <c r="V31">
        <f>HYPERLINK("https://klasma.github.io/Logging_FORSKNINGSRESAN_2025_BJURHOLM/klagomål/Trollberget FSC-klagomål.docx", "Trollberget")</f>
        <v/>
      </c>
      <c r="W31">
        <f>HYPERLINK("https://klasma.github.io/Logging_FORSKNINGSRESAN_2025_BJURHOLM/klagomålsmail/Trollberget FSC-klagomål mail.docx", "Trollberget")</f>
        <v/>
      </c>
      <c r="X31">
        <f>HYPERLINK("https://klasma.github.io/Logging_FORSKNINGSRESAN_2025_BJURHOLM/tillsyn/Trollberget tillsynsbegäran.docx", "Trollberget")</f>
        <v/>
      </c>
      <c r="Y31">
        <f>HYPERLINK("https://klasma.github.io/Logging_FORSKNINGSRESAN_2025_BJURHOLM/tillsynsmail/Trollberget tillsynsbegäran mail.docx", "Trollberget")</f>
        <v/>
      </c>
    </row>
    <row r="32" ht="15" customHeight="1">
      <c r="A32" t="inlineStr">
        <is>
          <t>Björnberget N</t>
        </is>
      </c>
      <c r="B32" t="inlineStr">
        <is>
          <t>2025-07-21</t>
        </is>
      </c>
      <c r="C32" s="1" t="n">
        <v>45859</v>
      </c>
      <c r="D32" t="inlineStr"/>
      <c r="E32" t="inlineStr">
        <is>
          <t>Bjurholm</t>
        </is>
      </c>
      <c r="G32" t="n">
        <v>29.2</v>
      </c>
      <c r="H32" t="n">
        <v>0</v>
      </c>
      <c r="I32" t="n">
        <v>4</v>
      </c>
      <c r="J32" t="n">
        <v>9</v>
      </c>
      <c r="K32" t="n">
        <v>1</v>
      </c>
      <c r="L32" t="n">
        <v>0</v>
      </c>
      <c r="M32" t="n">
        <v>0</v>
      </c>
      <c r="N32" t="n">
        <v>0</v>
      </c>
      <c r="O32" t="n">
        <v>10</v>
      </c>
      <c r="P32" t="n">
        <v>1</v>
      </c>
      <c r="Q32" t="n">
        <v>14</v>
      </c>
      <c r="R32" s="2" t="inlineStr">
        <is>
          <t>Gräddporing
Blå taggsvamp
Dvärgbägarlav
Garnlav
Lunglav
Reliktbock
Skrovlig taggsvamp
Vedskivlav
Vedtrappmossa
Violettgrå tagellav
Dropptaggsvamp
Mörk husmossa
Norrlandslav
Vedticka</t>
        </is>
      </c>
      <c r="S32">
        <f>HYPERLINK("https://klasma.github.io/Logging_FORSKNINGSRESAN_2025_BJURHOLM/artfynd/Björnberget N artfynd.xlsx", "Björnberget N")</f>
        <v/>
      </c>
      <c r="T32">
        <f>HYPERLINK("https://klasma.github.io/Logging_FORSKNINGSRESAN_2025_BJURHOLM/kartor/Björnberget N karta.png", "Björnberget N")</f>
        <v/>
      </c>
      <c r="V32">
        <f>HYPERLINK("https://klasma.github.io/Logging_FORSKNINGSRESAN_2025_BJURHOLM/klagomål/Björnberget N FSC-klagomål.docx", "Björnberget N")</f>
        <v/>
      </c>
      <c r="W32">
        <f>HYPERLINK("https://klasma.github.io/Logging_FORSKNINGSRESAN_2025_BJURHOLM/klagomålsmail/Björnberget N FSC-klagomål mail.docx", "Björnberget N")</f>
        <v/>
      </c>
      <c r="X32">
        <f>HYPERLINK("https://klasma.github.io/Logging_FORSKNINGSRESAN_2025_BJURHOLM/tillsyn/Björnberget N tillsynsbegäran.docx", "Björnberget N")</f>
        <v/>
      </c>
      <c r="Y32">
        <f>HYPERLINK("https://klasma.github.io/Logging_FORSKNINGSRESAN_2025_BJURHOLM/tillsynsmail/Björnberget N tillsynsbegäran mail.docx", "Björnberget N")</f>
        <v/>
      </c>
    </row>
    <row r="33" ht="15" customHeight="1">
      <c r="A33" t="inlineStr">
        <is>
          <t>Gåstjärnen</t>
        </is>
      </c>
      <c r="B33" t="inlineStr">
        <is>
          <t>2025-07-21</t>
        </is>
      </c>
      <c r="C33" s="1" t="n">
        <v>45859</v>
      </c>
      <c r="D33" t="inlineStr"/>
      <c r="E33" t="inlineStr">
        <is>
          <t>Bjurholm</t>
        </is>
      </c>
      <c r="G33" t="n">
        <v>62.7</v>
      </c>
      <c r="H33" t="n">
        <v>1</v>
      </c>
      <c r="I33" t="n">
        <v>0</v>
      </c>
      <c r="J33" t="n">
        <v>11</v>
      </c>
      <c r="K33" t="n">
        <v>3</v>
      </c>
      <c r="L33" t="n">
        <v>0</v>
      </c>
      <c r="M33" t="n">
        <v>0</v>
      </c>
      <c r="N33" t="n">
        <v>0</v>
      </c>
      <c r="O33" t="n">
        <v>14</v>
      </c>
      <c r="P33" t="n">
        <v>3</v>
      </c>
      <c r="Q33" t="n">
        <v>14</v>
      </c>
      <c r="R33" s="2" t="inlineStr">
        <is>
          <t>Goliatmusseron
Knärot
Smalfotad taggsvamp
Blå taggsvamp
Dvärgbägarlav
Gammelgransskål
Garnlav
Granticka
Motaggsvamp
Skrovlig taggsvamp
Svart taggsvamp
Ullticka
Vedtrappmossa
Vitgrynig nållav</t>
        </is>
      </c>
      <c r="S33">
        <f>HYPERLINK("https://klasma.github.io/Logging_FORSKNINGSRESAN_2025_BJURHOLM/artfynd/Gåstjärnen artfynd.xlsx", "Gåstjärnen")</f>
        <v/>
      </c>
      <c r="T33">
        <f>HYPERLINK("https://klasma.github.io/Logging_FORSKNINGSRESAN_2025_BJURHOLM/kartor/Gåstjärnen karta.png", "Gåstjärnen")</f>
        <v/>
      </c>
      <c r="U33">
        <f>HYPERLINK("https://klasma.github.io/Logging_FORSKNINGSRESAN_2025_BJURHOLM/knärot/Gåstjärnen karta knärot.png", "Gåstjärnen")</f>
        <v/>
      </c>
      <c r="V33">
        <f>HYPERLINK("https://klasma.github.io/Logging_FORSKNINGSRESAN_2025_BJURHOLM/klagomål/Gåstjärnen FSC-klagomål.docx", "Gåstjärnen")</f>
        <v/>
      </c>
      <c r="W33">
        <f>HYPERLINK("https://klasma.github.io/Logging_FORSKNINGSRESAN_2025_BJURHOLM/klagomålsmail/Gåstjärnen FSC-klagomål mail.docx", "Gåstjärnen")</f>
        <v/>
      </c>
      <c r="X33">
        <f>HYPERLINK("https://klasma.github.io/Logging_FORSKNINGSRESAN_2025_BJURHOLM/tillsyn/Gåstjärnen tillsynsbegäran.docx", "Gåstjärnen")</f>
        <v/>
      </c>
      <c r="Y33">
        <f>HYPERLINK("https://klasma.github.io/Logging_FORSKNINGSRESAN_2025_BJURHOLM/tillsynsmail/Gåstjärnen tillsynsbegäran mail.docx", "Gåstjärnen")</f>
        <v/>
      </c>
    </row>
    <row r="34" ht="15" customHeight="1">
      <c r="A34" t="inlineStr">
        <is>
          <t>Lappberget</t>
        </is>
      </c>
      <c r="B34" t="inlineStr">
        <is>
          <t>2025-07-21</t>
        </is>
      </c>
      <c r="C34" s="1" t="n">
        <v>45859</v>
      </c>
      <c r="D34" t="inlineStr"/>
      <c r="E34" t="inlineStr">
        <is>
          <t>Bjurholm</t>
        </is>
      </c>
      <c r="G34" t="n">
        <v>60.4</v>
      </c>
      <c r="H34" t="n">
        <v>0</v>
      </c>
      <c r="I34" t="n">
        <v>4</v>
      </c>
      <c r="J34" t="n">
        <v>10</v>
      </c>
      <c r="K34" t="n">
        <v>0</v>
      </c>
      <c r="L34" t="n">
        <v>0</v>
      </c>
      <c r="M34" t="n">
        <v>0</v>
      </c>
      <c r="N34" t="n">
        <v>0</v>
      </c>
      <c r="O34" t="n">
        <v>10</v>
      </c>
      <c r="P34" t="n">
        <v>0</v>
      </c>
      <c r="Q34" t="n">
        <v>14</v>
      </c>
      <c r="R34" s="2" t="inlineStr">
        <is>
          <t>Doftskinn
Gammelgransskål
Garnlav
Granticka
Kolflarnlav
Mörk kolflarnlav
Stjärntagging
Ullticka
Violettgrå tagellav
Vitgrynig nållav
Luddlav
Skinnlav
Stuplav
Trådticka</t>
        </is>
      </c>
      <c r="S34">
        <f>HYPERLINK("https://klasma.github.io/Logging_FORSKNINGSRESAN_2025_BJURHOLM/artfynd/Lappberget artfynd.xlsx", "Lappberget")</f>
        <v/>
      </c>
      <c r="T34">
        <f>HYPERLINK("https://klasma.github.io/Logging_FORSKNINGSRESAN_2025_BJURHOLM/kartor/Lappberget karta.png", "Lappberget")</f>
        <v/>
      </c>
      <c r="V34">
        <f>HYPERLINK("https://klasma.github.io/Logging_FORSKNINGSRESAN_2025_BJURHOLM/klagomål/Lappberget FSC-klagomål.docx", "Lappberget")</f>
        <v/>
      </c>
      <c r="W34">
        <f>HYPERLINK("https://klasma.github.io/Logging_FORSKNINGSRESAN_2025_BJURHOLM/klagomålsmail/Lappberget FSC-klagomål mail.docx", "Lappberget")</f>
        <v/>
      </c>
      <c r="X34">
        <f>HYPERLINK("https://klasma.github.io/Logging_FORSKNINGSRESAN_2025_BJURHOLM/tillsyn/Lappberget tillsynsbegäran.docx", "Lappberget")</f>
        <v/>
      </c>
      <c r="Y34">
        <f>HYPERLINK("https://klasma.github.io/Logging_FORSKNINGSRESAN_2025_BJURHOLM/tillsynsmail/Lappberget tillsynsbegäran mail.docx", "Lappberget")</f>
        <v/>
      </c>
    </row>
    <row r="35" ht="15" customHeight="1">
      <c r="A35" t="inlineStr">
        <is>
          <t>Stor-Svartliden</t>
        </is>
      </c>
      <c r="B35" t="inlineStr">
        <is>
          <t>2025-07-21</t>
        </is>
      </c>
      <c r="C35" s="1" t="n">
        <v>45859</v>
      </c>
      <c r="D35" t="inlineStr"/>
      <c r="E35" t="inlineStr">
        <is>
          <t>Bjurholm</t>
        </is>
      </c>
      <c r="G35" t="n">
        <v>187.8</v>
      </c>
      <c r="H35" t="n">
        <v>2</v>
      </c>
      <c r="I35" t="n">
        <v>4</v>
      </c>
      <c r="J35" t="n">
        <v>7</v>
      </c>
      <c r="K35" t="n">
        <v>1</v>
      </c>
      <c r="L35" t="n">
        <v>0</v>
      </c>
      <c r="M35" t="n">
        <v>0</v>
      </c>
      <c r="N35" t="n">
        <v>0</v>
      </c>
      <c r="O35" t="n">
        <v>8</v>
      </c>
      <c r="P35" t="n">
        <v>1</v>
      </c>
      <c r="Q35" t="n">
        <v>13</v>
      </c>
      <c r="R35" s="2" t="inlineStr">
        <is>
          <t>Doftticka
Doftskinn
Garnlav
Granticka
Gränsticka
Lunglav
Skrovellav
Violettgrå tagellav
Bårdlav
Luddlav
Skinnlav
Stuplav
Fläcknycklar</t>
        </is>
      </c>
      <c r="S35">
        <f>HYPERLINK("https://klasma.github.io/Logging_FORSKNINGSRESAN_2025_BJURHOLM/artfynd/Stor-Svartliden artfynd.xlsx", "Stor-Svartliden")</f>
        <v/>
      </c>
      <c r="T35">
        <f>HYPERLINK("https://klasma.github.io/Logging_FORSKNINGSRESAN_2025_BJURHOLM/kartor/Stor-Svartliden karta.png", "Stor-Svartliden")</f>
        <v/>
      </c>
      <c r="V35">
        <f>HYPERLINK("https://klasma.github.io/Logging_FORSKNINGSRESAN_2025_BJURHOLM/klagomål/Stor-Svartliden FSC-klagomål.docx", "Stor-Svartliden")</f>
        <v/>
      </c>
      <c r="W35">
        <f>HYPERLINK("https://klasma.github.io/Logging_FORSKNINGSRESAN_2025_BJURHOLM/klagomålsmail/Stor-Svartliden FSC-klagomål mail.docx", "Stor-Svartliden")</f>
        <v/>
      </c>
      <c r="X35">
        <f>HYPERLINK("https://klasma.github.io/Logging_FORSKNINGSRESAN_2025_BJURHOLM/tillsyn/Stor-Svartliden tillsynsbegäran.docx", "Stor-Svartliden")</f>
        <v/>
      </c>
      <c r="Y35">
        <f>HYPERLINK("https://klasma.github.io/Logging_FORSKNINGSRESAN_2025_BJURHOLM/tillsynsmail/Stor-Svartliden tillsynsbegäran mail.docx", "Stor-Svartliden")</f>
        <v/>
      </c>
    </row>
    <row r="36" ht="15" customHeight="1">
      <c r="A36" t="inlineStr">
        <is>
          <t>Kläpptjärnen</t>
        </is>
      </c>
      <c r="B36" t="inlineStr">
        <is>
          <t>2025-07-21</t>
        </is>
      </c>
      <c r="C36" s="1" t="n">
        <v>45859</v>
      </c>
      <c r="D36" t="inlineStr"/>
      <c r="E36" t="inlineStr">
        <is>
          <t>Bjurholm</t>
        </is>
      </c>
      <c r="G36" t="n">
        <v>113.3</v>
      </c>
      <c r="H36" t="n">
        <v>0</v>
      </c>
      <c r="I36" t="n">
        <v>3</v>
      </c>
      <c r="J36" t="n">
        <v>8</v>
      </c>
      <c r="K36" t="n">
        <v>2</v>
      </c>
      <c r="L36" t="n">
        <v>0</v>
      </c>
      <c r="M36" t="n">
        <v>0</v>
      </c>
      <c r="N36" t="n">
        <v>0</v>
      </c>
      <c r="O36" t="n">
        <v>10</v>
      </c>
      <c r="P36" t="n">
        <v>2</v>
      </c>
      <c r="Q36" t="n">
        <v>13</v>
      </c>
      <c r="R36" s="2" t="inlineStr">
        <is>
          <t>Goliatmusseron
Jättemusseron
Blå taggsvamp
Dvärgbägarlav
Granticka
Orange taggsvamp
Skrovlig taggsvamp
Talltaggsvamp
Tallticka
Vaddporing
Dropptaggsvamp
Skarp dropptaggsvamp
Tallfingersvamp</t>
        </is>
      </c>
      <c r="S36">
        <f>HYPERLINK("https://klasma.github.io/Logging_FORSKNINGSRESAN_2025_BJURHOLM/artfynd/Kläpptjärnen artfynd.xlsx", "Kläpptjärnen")</f>
        <v/>
      </c>
      <c r="T36">
        <f>HYPERLINK("https://klasma.github.io/Logging_FORSKNINGSRESAN_2025_BJURHOLM/kartor/Kläpptjärnen karta.png", "Kläpptjärnen")</f>
        <v/>
      </c>
      <c r="V36">
        <f>HYPERLINK("https://klasma.github.io/Logging_FORSKNINGSRESAN_2025_BJURHOLM/klagomål/Kläpptjärnen FSC-klagomål.docx", "Kläpptjärnen")</f>
        <v/>
      </c>
      <c r="W36">
        <f>HYPERLINK("https://klasma.github.io/Logging_FORSKNINGSRESAN_2025_BJURHOLM/klagomålsmail/Kläpptjärnen FSC-klagomål mail.docx", "Kläpptjärnen")</f>
        <v/>
      </c>
      <c r="X36">
        <f>HYPERLINK("https://klasma.github.io/Logging_FORSKNINGSRESAN_2025_BJURHOLM/tillsyn/Kläpptjärnen tillsynsbegäran.docx", "Kläpptjärnen")</f>
        <v/>
      </c>
      <c r="Y36">
        <f>HYPERLINK("https://klasma.github.io/Logging_FORSKNINGSRESAN_2025_BJURHOLM/tillsynsmail/Kläpptjärnen tillsynsbegäran mail.docx", "Kläpptjärnen")</f>
        <v/>
      </c>
    </row>
    <row r="37" ht="15" customHeight="1">
      <c r="A37" t="inlineStr">
        <is>
          <t>Stensjöåsen</t>
        </is>
      </c>
      <c r="B37" t="inlineStr">
        <is>
          <t>2025-07-21</t>
        </is>
      </c>
      <c r="C37" s="1" t="n">
        <v>45859</v>
      </c>
      <c r="D37" t="inlineStr"/>
      <c r="E37" t="inlineStr">
        <is>
          <t>Bjurholm</t>
        </is>
      </c>
      <c r="G37" t="n">
        <v>117.8</v>
      </c>
      <c r="H37" t="n">
        <v>0</v>
      </c>
      <c r="I37" t="n">
        <v>3</v>
      </c>
      <c r="J37" t="n">
        <v>7</v>
      </c>
      <c r="K37" t="n">
        <v>2</v>
      </c>
      <c r="L37" t="n">
        <v>0</v>
      </c>
      <c r="M37" t="n">
        <v>0</v>
      </c>
      <c r="N37" t="n">
        <v>0</v>
      </c>
      <c r="O37" t="n">
        <v>9</v>
      </c>
      <c r="P37" t="n">
        <v>2</v>
      </c>
      <c r="Q37" t="n">
        <v>12</v>
      </c>
      <c r="R37" s="2" t="inlineStr">
        <is>
          <t>Gräddporing
Tajgataggsvamp
Blå taggsvamp
Dvärgbägarlav
Kolflarnlav
Nordtagging
Reliktbock
Vaddporing
Vedflamlav
Dropptaggsvamp
Skarp dropptaggsvamp
Vedticka</t>
        </is>
      </c>
      <c r="S37">
        <f>HYPERLINK("https://klasma.github.io/Logging_FORSKNINGSRESAN_2025_BJURHOLM/artfynd/Stensjöåsen artfynd.xlsx", "Stensjöåsen")</f>
        <v/>
      </c>
      <c r="T37">
        <f>HYPERLINK("https://klasma.github.io/Logging_FORSKNINGSRESAN_2025_BJURHOLM/kartor/Stensjöåsen karta.png", "Stensjöåsen")</f>
        <v/>
      </c>
      <c r="V37">
        <f>HYPERLINK("https://klasma.github.io/Logging_FORSKNINGSRESAN_2025_BJURHOLM/klagomål/Stensjöåsen FSC-klagomål.docx", "Stensjöåsen")</f>
        <v/>
      </c>
      <c r="W37">
        <f>HYPERLINK("https://klasma.github.io/Logging_FORSKNINGSRESAN_2025_BJURHOLM/klagomålsmail/Stensjöåsen FSC-klagomål mail.docx", "Stensjöåsen")</f>
        <v/>
      </c>
      <c r="X37">
        <f>HYPERLINK("https://klasma.github.io/Logging_FORSKNINGSRESAN_2025_BJURHOLM/tillsyn/Stensjöåsen tillsynsbegäran.docx", "Stensjöåsen")</f>
        <v/>
      </c>
      <c r="Y37">
        <f>HYPERLINK("https://klasma.github.io/Logging_FORSKNINGSRESAN_2025_BJURHOLM/tillsynsmail/Stensjöåsen tillsynsbegäran mail.docx", "Stensjöåsen")</f>
        <v/>
      </c>
    </row>
    <row r="38" ht="15" customHeight="1">
      <c r="A38" t="inlineStr">
        <is>
          <t>Blåbergssjön</t>
        </is>
      </c>
      <c r="B38" t="inlineStr">
        <is>
          <t>2025-07-21</t>
        </is>
      </c>
      <c r="C38" s="1" t="n">
        <v>45859</v>
      </c>
      <c r="D38" t="inlineStr"/>
      <c r="E38" t="inlineStr">
        <is>
          <t>Bjurholm</t>
        </is>
      </c>
      <c r="G38" t="n">
        <v>27.1</v>
      </c>
      <c r="H38" t="n">
        <v>0</v>
      </c>
      <c r="I38" t="n">
        <v>3</v>
      </c>
      <c r="J38" t="n">
        <v>7</v>
      </c>
      <c r="K38" t="n">
        <v>0</v>
      </c>
      <c r="L38" t="n">
        <v>0</v>
      </c>
      <c r="M38" t="n">
        <v>0</v>
      </c>
      <c r="N38" t="n">
        <v>0</v>
      </c>
      <c r="O38" t="n">
        <v>7</v>
      </c>
      <c r="P38" t="n">
        <v>0</v>
      </c>
      <c r="Q38" t="n">
        <v>10</v>
      </c>
      <c r="R38" s="2" t="inlineStr">
        <is>
          <t>Blanksvart spiklav
Dvärgbägarlav
Garnlav
Mörk kolflarnlav
Reliktbock
Vedflamlav
Vedskivlav
Dropptaggsvamp
Skuggblåslav
Vedticka</t>
        </is>
      </c>
      <c r="S38">
        <f>HYPERLINK("https://klasma.github.io/Logging_FORSKNINGSRESAN_2025_BJURHOLM/artfynd/Blåbergssjön artfynd.xlsx", "Blåbergssjön")</f>
        <v/>
      </c>
      <c r="T38">
        <f>HYPERLINK("https://klasma.github.io/Logging_FORSKNINGSRESAN_2025_BJURHOLM/kartor/Blåbergssjön karta.png", "Blåbergssjön")</f>
        <v/>
      </c>
      <c r="V38">
        <f>HYPERLINK("https://klasma.github.io/Logging_FORSKNINGSRESAN_2025_BJURHOLM/klagomål/Blåbergssjön FSC-klagomål.docx", "Blåbergssjön")</f>
        <v/>
      </c>
      <c r="W38">
        <f>HYPERLINK("https://klasma.github.io/Logging_FORSKNINGSRESAN_2025_BJURHOLM/klagomålsmail/Blåbergssjön FSC-klagomål mail.docx", "Blåbergssjön")</f>
        <v/>
      </c>
      <c r="X38">
        <f>HYPERLINK("https://klasma.github.io/Logging_FORSKNINGSRESAN_2025_BJURHOLM/tillsyn/Blåbergssjön tillsynsbegäran.docx", "Blåbergssjön")</f>
        <v/>
      </c>
      <c r="Y38">
        <f>HYPERLINK("https://klasma.github.io/Logging_FORSKNINGSRESAN_2025_BJURHOLM/tillsynsmail/Blåbergssjön tillsynsbegäran mail.docx", "Blåbergssjön")</f>
        <v/>
      </c>
    </row>
    <row r="39" ht="15" customHeight="1">
      <c r="A39" t="inlineStr">
        <is>
          <t>Fulberget</t>
        </is>
      </c>
      <c r="B39" t="inlineStr">
        <is>
          <t>2025-07-21</t>
        </is>
      </c>
      <c r="C39" s="1" t="n">
        <v>45859</v>
      </c>
      <c r="D39" t="inlineStr"/>
      <c r="E39" t="inlineStr">
        <is>
          <t>Bjurholm</t>
        </is>
      </c>
      <c r="G39" t="n">
        <v>117.3</v>
      </c>
      <c r="H39" t="n">
        <v>1</v>
      </c>
      <c r="I39" t="n">
        <v>2</v>
      </c>
      <c r="J39" t="n">
        <v>6</v>
      </c>
      <c r="K39" t="n">
        <v>1</v>
      </c>
      <c r="L39" t="n">
        <v>0</v>
      </c>
      <c r="M39" t="n">
        <v>0</v>
      </c>
      <c r="N39" t="n">
        <v>0</v>
      </c>
      <c r="O39" t="n">
        <v>7</v>
      </c>
      <c r="P39" t="n">
        <v>1</v>
      </c>
      <c r="Q39" t="n">
        <v>9</v>
      </c>
      <c r="R39" s="2" t="inlineStr">
        <is>
          <t>Rynkskinn
Garnlav
Granticka
Harticka
Småflikig brosklav
Tretåig hackspett
Ullticka
Skinnlav
Stor aspticka</t>
        </is>
      </c>
      <c r="S39">
        <f>HYPERLINK("https://klasma.github.io/Logging_FORSKNINGSRESAN_2025_BJURHOLM/artfynd/Fulberget artfynd.xlsx", "Fulberget")</f>
        <v/>
      </c>
      <c r="T39">
        <f>HYPERLINK("https://klasma.github.io/Logging_FORSKNINGSRESAN_2025_BJURHOLM/kartor/Fulberget karta.png", "Fulberget")</f>
        <v/>
      </c>
      <c r="V39">
        <f>HYPERLINK("https://klasma.github.io/Logging_FORSKNINGSRESAN_2025_BJURHOLM/klagomål/Fulberget FSC-klagomål.docx", "Fulberget")</f>
        <v/>
      </c>
      <c r="W39">
        <f>HYPERLINK("https://klasma.github.io/Logging_FORSKNINGSRESAN_2025_BJURHOLM/klagomålsmail/Fulberget FSC-klagomål mail.docx", "Fulberget")</f>
        <v/>
      </c>
      <c r="X39">
        <f>HYPERLINK("https://klasma.github.io/Logging_FORSKNINGSRESAN_2025_BJURHOLM/tillsyn/Fulberget tillsynsbegäran.docx", "Fulberget")</f>
        <v/>
      </c>
      <c r="Y39">
        <f>HYPERLINK("https://klasma.github.io/Logging_FORSKNINGSRESAN_2025_BJURHOLM/tillsynsmail/Fulberget tillsynsbegäran mail.docx", "Fulberget")</f>
        <v/>
      </c>
      <c r="Z39">
        <f>HYPERLINK("https://klasma.github.io/Logging_FORSKNINGSRESAN_2025_BJURHOLM/fåglar/Fulberget prioriterade fågelarter.docx", "Fulberget")</f>
        <v/>
      </c>
    </row>
    <row r="40" ht="15" customHeight="1">
      <c r="A40" t="inlineStr">
        <is>
          <t>Käringberget SO</t>
        </is>
      </c>
      <c r="B40" t="inlineStr">
        <is>
          <t>2025-07-21</t>
        </is>
      </c>
      <c r="C40" s="1" t="n">
        <v>45859</v>
      </c>
      <c r="D40" t="inlineStr"/>
      <c r="E40" t="inlineStr">
        <is>
          <t>Bjurholm</t>
        </is>
      </c>
      <c r="G40" t="n">
        <v>143.1</v>
      </c>
      <c r="H40" t="n">
        <v>0</v>
      </c>
      <c r="I40" t="n">
        <v>3</v>
      </c>
      <c r="J40" t="n">
        <v>3</v>
      </c>
      <c r="K40" t="n">
        <v>0</v>
      </c>
      <c r="L40" t="n">
        <v>0</v>
      </c>
      <c r="M40" t="n">
        <v>0</v>
      </c>
      <c r="N40" t="n">
        <v>0</v>
      </c>
      <c r="O40" t="n">
        <v>3</v>
      </c>
      <c r="P40" t="n">
        <v>0</v>
      </c>
      <c r="Q40" t="n">
        <v>6</v>
      </c>
      <c r="R40" s="2" t="inlineStr">
        <is>
          <t>Lunglav
Ullticka
Xorides depressus
Bårdlav
Luddlav
Stuplav</t>
        </is>
      </c>
      <c r="S40">
        <f>HYPERLINK("https://klasma.github.io/Logging_FORSKNINGSRESAN_2025_BJURHOLM/artfynd/Käringberget SO artfynd.xlsx", "Käringberget SO")</f>
        <v/>
      </c>
      <c r="T40">
        <f>HYPERLINK("https://klasma.github.io/Logging_FORSKNINGSRESAN_2025_BJURHOLM/kartor/Käringberget SO karta.png", "Käringberget SO")</f>
        <v/>
      </c>
      <c r="V40">
        <f>HYPERLINK("https://klasma.github.io/Logging_FORSKNINGSRESAN_2025_BJURHOLM/klagomål/Käringberget SO FSC-klagomål.docx", "Käringberget SO")</f>
        <v/>
      </c>
      <c r="W40">
        <f>HYPERLINK("https://klasma.github.io/Logging_FORSKNINGSRESAN_2025_BJURHOLM/klagomålsmail/Käringberget SO FSC-klagomål mail.docx", "Käringberget SO")</f>
        <v/>
      </c>
      <c r="X40">
        <f>HYPERLINK("https://klasma.github.io/Logging_FORSKNINGSRESAN_2025_BJURHOLM/tillsyn/Käringberget SO tillsynsbegäran.docx", "Käringberget SO")</f>
        <v/>
      </c>
      <c r="Y40">
        <f>HYPERLINK("https://klasma.github.io/Logging_FORSKNINGSRESAN_2025_BJURHOLM/tillsynsmail/Käringberget SO tillsynsbegäran mail.docx", "Käringberget SO")</f>
        <v/>
      </c>
    </row>
    <row r="41" ht="15" customHeight="1">
      <c r="A41" t="inlineStr">
        <is>
          <t>Tällvattsåsen</t>
        </is>
      </c>
      <c r="B41" t="inlineStr">
        <is>
          <t>2025-07-21</t>
        </is>
      </c>
      <c r="C41" s="1" t="n">
        <v>45859</v>
      </c>
      <c r="D41" t="inlineStr"/>
      <c r="E41" t="inlineStr">
        <is>
          <t>Bjurholm</t>
        </is>
      </c>
      <c r="G41" t="n">
        <v>190.3</v>
      </c>
      <c r="H41" t="n">
        <v>1</v>
      </c>
      <c r="I41" t="n">
        <v>1</v>
      </c>
      <c r="J41" t="n">
        <v>3</v>
      </c>
      <c r="K41" t="n">
        <v>2</v>
      </c>
      <c r="L41" t="n">
        <v>0</v>
      </c>
      <c r="M41" t="n">
        <v>0</v>
      </c>
      <c r="N41" t="n">
        <v>0</v>
      </c>
      <c r="O41" t="n">
        <v>5</v>
      </c>
      <c r="P41" t="n">
        <v>2</v>
      </c>
      <c r="Q41" t="n">
        <v>6</v>
      </c>
      <c r="R41" s="2" t="inlineStr">
        <is>
          <t>Knärot
Rynkskinn
Garnlav
Granticka
Lunglav
Dropptaggsvamp</t>
        </is>
      </c>
      <c r="S41">
        <f>HYPERLINK("https://klasma.github.io/Logging_FORSKNINGSRESAN_2025_BJURHOLM/artfynd/Tällvattsåsen artfynd.xlsx", "Tällvattsåsen")</f>
        <v/>
      </c>
      <c r="T41">
        <f>HYPERLINK("https://klasma.github.io/Logging_FORSKNINGSRESAN_2025_BJURHOLM/kartor/Tällvattsåsen karta.png", "Tällvattsåsen")</f>
        <v/>
      </c>
      <c r="U41">
        <f>HYPERLINK("https://klasma.github.io/Logging_FORSKNINGSRESAN_2025_BJURHOLM/knärot/Tällvattsåsen karta knärot.png", "Tällvattsåsen")</f>
        <v/>
      </c>
      <c r="V41">
        <f>HYPERLINK("https://klasma.github.io/Logging_FORSKNINGSRESAN_2025_BJURHOLM/klagomål/Tällvattsåsen FSC-klagomål.docx", "Tällvattsåsen")</f>
        <v/>
      </c>
      <c r="W41">
        <f>HYPERLINK("https://klasma.github.io/Logging_FORSKNINGSRESAN_2025_BJURHOLM/klagomålsmail/Tällvattsåsen FSC-klagomål mail.docx", "Tällvattsåsen")</f>
        <v/>
      </c>
      <c r="X41">
        <f>HYPERLINK("https://klasma.github.io/Logging_FORSKNINGSRESAN_2025_BJURHOLM/tillsyn/Tällvattsåsen tillsynsbegäran.docx", "Tällvattsåsen")</f>
        <v/>
      </c>
      <c r="Y41">
        <f>HYPERLINK("https://klasma.github.io/Logging_FORSKNINGSRESAN_2025_BJURHOLM/tillsynsmail/Tällvattsåsen tillsynsbegäran mail.docx", "Tällvattsåsen")</f>
        <v/>
      </c>
    </row>
    <row r="42" ht="15" customHeight="1">
      <c r="A42" t="inlineStr">
        <is>
          <t>Alingsås</t>
        </is>
      </c>
      <c r="B42" t="inlineStr">
        <is>
          <t>2025-07-21</t>
        </is>
      </c>
      <c r="C42" s="1" t="n">
        <v>45859</v>
      </c>
      <c r="D42" t="inlineStr"/>
      <c r="E42" t="inlineStr">
        <is>
          <t>Bjurholm</t>
        </is>
      </c>
      <c r="G42" t="n">
        <v>129.9</v>
      </c>
      <c r="H42" t="n">
        <v>0</v>
      </c>
      <c r="I42" t="n">
        <v>0</v>
      </c>
      <c r="J42" t="n">
        <v>3</v>
      </c>
      <c r="K42" t="n">
        <v>1</v>
      </c>
      <c r="L42" t="n">
        <v>0</v>
      </c>
      <c r="M42" t="n">
        <v>0</v>
      </c>
      <c r="N42" t="n">
        <v>0</v>
      </c>
      <c r="O42" t="n">
        <v>4</v>
      </c>
      <c r="P42" t="n">
        <v>1</v>
      </c>
      <c r="Q42" t="n">
        <v>4</v>
      </c>
      <c r="R42" s="2" t="inlineStr">
        <is>
          <t>Liten sotlav
Doftskinn
Granticka
Ullticka</t>
        </is>
      </c>
      <c r="S42">
        <f>HYPERLINK("https://klasma.github.io/Logging_FORSKNINGSRESAN_2025_BJURHOLM/artfynd/Alingsås artfynd.xlsx", "Alingsås")</f>
        <v/>
      </c>
      <c r="T42">
        <f>HYPERLINK("https://klasma.github.io/Logging_FORSKNINGSRESAN_2025_BJURHOLM/kartor/Alingsås karta.png", "Alingsås")</f>
        <v/>
      </c>
      <c r="V42">
        <f>HYPERLINK("https://klasma.github.io/Logging_FORSKNINGSRESAN_2025_BJURHOLM/klagomål/Alingsås FSC-klagomål.docx", "Alingsås")</f>
        <v/>
      </c>
      <c r="W42">
        <f>HYPERLINK("https://klasma.github.io/Logging_FORSKNINGSRESAN_2025_BJURHOLM/klagomålsmail/Alingsås FSC-klagomål mail.docx", "Alingsås")</f>
        <v/>
      </c>
      <c r="X42">
        <f>HYPERLINK("https://klasma.github.io/Logging_FORSKNINGSRESAN_2025_BJURHOLM/tillsyn/Alingsås tillsynsbegäran.docx", "Alingsås")</f>
        <v/>
      </c>
      <c r="Y42">
        <f>HYPERLINK("https://klasma.github.io/Logging_FORSKNINGSRESAN_2025_BJURHOLM/tillsynsmail/Alingsås tillsynsbegäran mail.docx", "Alingsås")</f>
        <v/>
      </c>
    </row>
    <row r="43" ht="15" customHeight="1">
      <c r="A43" t="inlineStr">
        <is>
          <t>Norrnäs</t>
        </is>
      </c>
      <c r="B43" t="inlineStr">
        <is>
          <t>2025-07-21</t>
        </is>
      </c>
      <c r="C43" s="1" t="n">
        <v>45859</v>
      </c>
      <c r="D43" t="inlineStr"/>
      <c r="E43" t="inlineStr">
        <is>
          <t>Bjurholm</t>
        </is>
      </c>
      <c r="G43" t="n">
        <v>48.6</v>
      </c>
      <c r="H43" t="n">
        <v>0</v>
      </c>
      <c r="I43" t="n">
        <v>0</v>
      </c>
      <c r="J43" t="n">
        <v>4</v>
      </c>
      <c r="K43" t="n">
        <v>0</v>
      </c>
      <c r="L43" t="n">
        <v>0</v>
      </c>
      <c r="M43" t="n">
        <v>0</v>
      </c>
      <c r="N43" t="n">
        <v>0</v>
      </c>
      <c r="O43" t="n">
        <v>4</v>
      </c>
      <c r="P43" t="n">
        <v>0</v>
      </c>
      <c r="Q43" t="n">
        <v>4</v>
      </c>
      <c r="R43" s="2" t="inlineStr">
        <is>
          <t>Gammelgransskål
Granticka
Lunglav
Ullticka</t>
        </is>
      </c>
      <c r="S43">
        <f>HYPERLINK("https://klasma.github.io/Logging_FORSKNINGSRESAN_2025_BJURHOLM/artfynd/Norrnäs artfynd.xlsx", "Norrnäs")</f>
        <v/>
      </c>
      <c r="T43">
        <f>HYPERLINK("https://klasma.github.io/Logging_FORSKNINGSRESAN_2025_BJURHOLM/kartor/Norrnäs karta.png", "Norrnäs")</f>
        <v/>
      </c>
      <c r="V43">
        <f>HYPERLINK("https://klasma.github.io/Logging_FORSKNINGSRESAN_2025_BJURHOLM/klagomål/Norrnäs FSC-klagomål.docx", "Norrnäs")</f>
        <v/>
      </c>
      <c r="W43">
        <f>HYPERLINK("https://klasma.github.io/Logging_FORSKNINGSRESAN_2025_BJURHOLM/klagomålsmail/Norrnäs FSC-klagomål mail.docx", "Norrnäs")</f>
        <v/>
      </c>
      <c r="X43">
        <f>HYPERLINK("https://klasma.github.io/Logging_FORSKNINGSRESAN_2025_BJURHOLM/tillsyn/Norrnäs tillsynsbegäran.docx", "Norrnäs")</f>
        <v/>
      </c>
      <c r="Y43">
        <f>HYPERLINK("https://klasma.github.io/Logging_FORSKNINGSRESAN_2025_BJURHOLM/tillsynsmail/Norrnäs tillsynsbegäran mail.docx", "Norrnäs")</f>
        <v/>
      </c>
    </row>
    <row r="44" ht="15" customHeight="1">
      <c r="A44" t="inlineStr">
        <is>
          <t>Lill-Smaltjärnen</t>
        </is>
      </c>
      <c r="B44" t="inlineStr">
        <is>
          <t>2025-07-21</t>
        </is>
      </c>
      <c r="C44" s="1" t="n">
        <v>45859</v>
      </c>
      <c r="D44" t="inlineStr"/>
      <c r="E44" t="inlineStr">
        <is>
          <t>Bjurholm</t>
        </is>
      </c>
      <c r="G44" t="n">
        <v>174.7</v>
      </c>
      <c r="H44" t="n">
        <v>0</v>
      </c>
      <c r="I44" t="n">
        <v>1</v>
      </c>
      <c r="J44" t="n">
        <v>3</v>
      </c>
      <c r="K44" t="n">
        <v>0</v>
      </c>
      <c r="L44" t="n">
        <v>0</v>
      </c>
      <c r="M44" t="n">
        <v>0</v>
      </c>
      <c r="N44" t="n">
        <v>0</v>
      </c>
      <c r="O44" t="n">
        <v>3</v>
      </c>
      <c r="P44" t="n">
        <v>0</v>
      </c>
      <c r="Q44" t="n">
        <v>4</v>
      </c>
      <c r="R44" s="2" t="inlineStr">
        <is>
          <t>Garnlav
Lunglav
Motaggsvamp
Luddlav</t>
        </is>
      </c>
      <c r="S44">
        <f>HYPERLINK("https://klasma.github.io/Logging_FORSKNINGSRESAN_2025_BJURHOLM/artfynd/Lill-Smaltjärnen artfynd.xlsx", "Lill-Smaltjärnen")</f>
        <v/>
      </c>
      <c r="T44">
        <f>HYPERLINK("https://klasma.github.io/Logging_FORSKNINGSRESAN_2025_BJURHOLM/kartor/Lill-Smaltjärnen karta.png", "Lill-Smaltjärnen")</f>
        <v/>
      </c>
      <c r="V44">
        <f>HYPERLINK("https://klasma.github.io/Logging_FORSKNINGSRESAN_2025_BJURHOLM/klagomål/Lill-Smaltjärnen FSC-klagomål.docx", "Lill-Smaltjärnen")</f>
        <v/>
      </c>
      <c r="W44">
        <f>HYPERLINK("https://klasma.github.io/Logging_FORSKNINGSRESAN_2025_BJURHOLM/klagomålsmail/Lill-Smaltjärnen FSC-klagomål mail.docx", "Lill-Smaltjärnen")</f>
        <v/>
      </c>
      <c r="X44">
        <f>HYPERLINK("https://klasma.github.io/Logging_FORSKNINGSRESAN_2025_BJURHOLM/tillsyn/Lill-Smaltjärnen tillsynsbegäran.docx", "Lill-Smaltjärnen")</f>
        <v/>
      </c>
      <c r="Y44">
        <f>HYPERLINK("https://klasma.github.io/Logging_FORSKNINGSRESAN_2025_BJURHOLM/tillsynsmail/Lill-Smaltjärnen tillsynsbegäran mail.docx", "Lill-Smaltjärnen")</f>
        <v/>
      </c>
    </row>
    <row r="45" ht="15" customHeight="1">
      <c r="A45" t="inlineStr">
        <is>
          <t>Stornäsholmen</t>
        </is>
      </c>
      <c r="B45" t="inlineStr">
        <is>
          <t>2025-07-21</t>
        </is>
      </c>
      <c r="C45" s="1" t="n">
        <v>45859</v>
      </c>
      <c r="D45" t="inlineStr"/>
      <c r="E45" t="inlineStr">
        <is>
          <t>Bjurholm</t>
        </is>
      </c>
      <c r="G45" t="n">
        <v>25.5</v>
      </c>
      <c r="H45" t="n">
        <v>0</v>
      </c>
      <c r="I45" t="n">
        <v>1</v>
      </c>
      <c r="J45" t="n">
        <v>2</v>
      </c>
      <c r="K45" t="n">
        <v>1</v>
      </c>
      <c r="L45" t="n">
        <v>0</v>
      </c>
      <c r="M45" t="n">
        <v>0</v>
      </c>
      <c r="N45" t="n">
        <v>0</v>
      </c>
      <c r="O45" t="n">
        <v>3</v>
      </c>
      <c r="P45" t="n">
        <v>1</v>
      </c>
      <c r="Q45" t="n">
        <v>4</v>
      </c>
      <c r="R45" s="2" t="inlineStr">
        <is>
          <t>Rynkskinn
Rosenticka
Ullticka
Tibast</t>
        </is>
      </c>
      <c r="S45">
        <f>HYPERLINK("https://klasma.github.io/Logging_FORSKNINGSRESAN_2025_BJURHOLM/artfynd/Stornäsholmen artfynd.xlsx", "Stornäsholmen")</f>
        <v/>
      </c>
      <c r="T45">
        <f>HYPERLINK("https://klasma.github.io/Logging_FORSKNINGSRESAN_2025_BJURHOLM/kartor/Stornäsholmen karta.png", "Stornäsholmen")</f>
        <v/>
      </c>
      <c r="V45">
        <f>HYPERLINK("https://klasma.github.io/Logging_FORSKNINGSRESAN_2025_BJURHOLM/klagomål/Stornäsholmen FSC-klagomål.docx", "Stornäsholmen")</f>
        <v/>
      </c>
      <c r="W45">
        <f>HYPERLINK("https://klasma.github.io/Logging_FORSKNINGSRESAN_2025_BJURHOLM/klagomålsmail/Stornäsholmen FSC-klagomål mail.docx", "Stornäsholmen")</f>
        <v/>
      </c>
      <c r="X45">
        <f>HYPERLINK("https://klasma.github.io/Logging_FORSKNINGSRESAN_2025_BJURHOLM/tillsyn/Stornäsholmen tillsynsbegäran.docx", "Stornäsholmen")</f>
        <v/>
      </c>
      <c r="Y45">
        <f>HYPERLINK("https://klasma.github.io/Logging_FORSKNINGSRESAN_2025_BJURHOLM/tillsynsmail/Stornäsholmen tillsynsbegäran mail.docx", "Stornäsholmen")</f>
        <v/>
      </c>
    </row>
    <row r="46" ht="15" customHeight="1">
      <c r="A46" t="inlineStr">
        <is>
          <t>Lill-Lögdåberget O</t>
        </is>
      </c>
      <c r="B46" t="inlineStr">
        <is>
          <t>2025-07-21</t>
        </is>
      </c>
      <c r="C46" s="1" t="n">
        <v>45859</v>
      </c>
      <c r="D46" t="inlineStr"/>
      <c r="E46" t="inlineStr">
        <is>
          <t>Bjurholm</t>
        </is>
      </c>
      <c r="G46" t="n">
        <v>27.2</v>
      </c>
      <c r="H46" t="n">
        <v>0</v>
      </c>
      <c r="I46" t="n">
        <v>0</v>
      </c>
      <c r="J46" t="n">
        <v>3</v>
      </c>
      <c r="K46" t="n">
        <v>1</v>
      </c>
      <c r="L46" t="n">
        <v>0</v>
      </c>
      <c r="M46" t="n">
        <v>0</v>
      </c>
      <c r="N46" t="n">
        <v>0</v>
      </c>
      <c r="O46" t="n">
        <v>4</v>
      </c>
      <c r="P46" t="n">
        <v>1</v>
      </c>
      <c r="Q46" t="n">
        <v>4</v>
      </c>
      <c r="R46" s="2" t="inlineStr">
        <is>
          <t>Rynkskinn
Corticaria interstitialis
Ernobius explanatus
Granbarkmögelbagge</t>
        </is>
      </c>
      <c r="S46">
        <f>HYPERLINK("https://klasma.github.io/Logging_FORSKNINGSRESAN_2025_BJURHOLM/artfynd/Lill-Lögdåberget O artfynd.xlsx", "Lill-Lögdåberget O")</f>
        <v/>
      </c>
      <c r="T46">
        <f>HYPERLINK("https://klasma.github.io/Logging_FORSKNINGSRESAN_2025_BJURHOLM/kartor/Lill-Lögdåberget O karta.png", "Lill-Lögdåberget O")</f>
        <v/>
      </c>
      <c r="V46">
        <f>HYPERLINK("https://klasma.github.io/Logging_FORSKNINGSRESAN_2025_BJURHOLM/klagomål/Lill-Lögdåberget O FSC-klagomål.docx", "Lill-Lögdåberget O")</f>
        <v/>
      </c>
      <c r="W46">
        <f>HYPERLINK("https://klasma.github.io/Logging_FORSKNINGSRESAN_2025_BJURHOLM/klagomålsmail/Lill-Lögdåberget O FSC-klagomål mail.docx", "Lill-Lögdåberget O")</f>
        <v/>
      </c>
      <c r="X46">
        <f>HYPERLINK("https://klasma.github.io/Logging_FORSKNINGSRESAN_2025_BJURHOLM/tillsyn/Lill-Lögdåberget O tillsynsbegäran.docx", "Lill-Lögdåberget O")</f>
        <v/>
      </c>
      <c r="Y46">
        <f>HYPERLINK("https://klasma.github.io/Logging_FORSKNINGSRESAN_2025_BJURHOLM/tillsynsmail/Lill-Lögdåberget O tillsynsbegäran mail.docx", "Lill-Lögdåberget O")</f>
        <v/>
      </c>
    </row>
    <row r="47" ht="15" customHeight="1">
      <c r="A47" t="inlineStr">
        <is>
          <t>Vitstensberget V</t>
        </is>
      </c>
      <c r="B47" t="inlineStr">
        <is>
          <t>2025-07-21</t>
        </is>
      </c>
      <c r="C47" s="1" t="n">
        <v>45859</v>
      </c>
      <c r="D47" t="inlineStr"/>
      <c r="E47" t="inlineStr">
        <is>
          <t>Bjurholm</t>
        </is>
      </c>
      <c r="G47" t="n">
        <v>112.2</v>
      </c>
      <c r="H47" t="n">
        <v>0</v>
      </c>
      <c r="I47" t="n">
        <v>0</v>
      </c>
      <c r="J47" t="n">
        <v>2</v>
      </c>
      <c r="K47" t="n">
        <v>0</v>
      </c>
      <c r="L47" t="n">
        <v>0</v>
      </c>
      <c r="M47" t="n">
        <v>0</v>
      </c>
      <c r="N47" t="n">
        <v>0</v>
      </c>
      <c r="O47" t="n">
        <v>2</v>
      </c>
      <c r="P47" t="n">
        <v>0</v>
      </c>
      <c r="Q47" t="n">
        <v>2</v>
      </c>
      <c r="R47" s="2" t="inlineStr">
        <is>
          <t>Dvärgbägarlav
Violettgrå tagellav</t>
        </is>
      </c>
      <c r="S47">
        <f>HYPERLINK("https://klasma.github.io/Logging_FORSKNINGSRESAN_2025_BJURHOLM/artfynd/Vitstensberget V artfynd.xlsx", "Vitstensberget V")</f>
        <v/>
      </c>
      <c r="T47">
        <f>HYPERLINK("https://klasma.github.io/Logging_FORSKNINGSRESAN_2025_BJURHOLM/kartor/Vitstensberget V karta.png", "Vitstensberget V")</f>
        <v/>
      </c>
      <c r="V47">
        <f>HYPERLINK("https://klasma.github.io/Logging_FORSKNINGSRESAN_2025_BJURHOLM/klagomål/Vitstensberget V FSC-klagomål.docx", "Vitstensberget V")</f>
        <v/>
      </c>
      <c r="W47">
        <f>HYPERLINK("https://klasma.github.io/Logging_FORSKNINGSRESAN_2025_BJURHOLM/klagomålsmail/Vitstensberget V FSC-klagomål mail.docx", "Vitstensberget V")</f>
        <v/>
      </c>
      <c r="X47">
        <f>HYPERLINK("https://klasma.github.io/Logging_FORSKNINGSRESAN_2025_BJURHOLM/tillsyn/Vitstensberget V tillsynsbegäran.docx", "Vitstensberget V")</f>
        <v/>
      </c>
      <c r="Y47">
        <f>HYPERLINK("https://klasma.github.io/Logging_FORSKNINGSRESAN_2025_BJURHOLM/tillsynsmail/Vitstensberget V tillsynsbegäran mail.docx", "Vitstensberget V")</f>
        <v/>
      </c>
    </row>
    <row r="48" ht="15" customHeight="1">
      <c r="A48" t="inlineStr">
        <is>
          <t>Lubbliden</t>
        </is>
      </c>
      <c r="B48" t="inlineStr">
        <is>
          <t>2025-07-21</t>
        </is>
      </c>
      <c r="C48" s="1" t="n">
        <v>45859</v>
      </c>
      <c r="D48" t="inlineStr"/>
      <c r="E48" t="inlineStr">
        <is>
          <t>Bjurholm</t>
        </is>
      </c>
      <c r="G48" t="n">
        <v>299.4</v>
      </c>
      <c r="H48" t="n">
        <v>1</v>
      </c>
      <c r="I48" t="n">
        <v>0</v>
      </c>
      <c r="J48" t="n">
        <v>2</v>
      </c>
      <c r="K48" t="n">
        <v>0</v>
      </c>
      <c r="L48" t="n">
        <v>0</v>
      </c>
      <c r="M48" t="n">
        <v>0</v>
      </c>
      <c r="N48" t="n">
        <v>0</v>
      </c>
      <c r="O48" t="n">
        <v>2</v>
      </c>
      <c r="P48" t="n">
        <v>0</v>
      </c>
      <c r="Q48" t="n">
        <v>2</v>
      </c>
      <c r="R48" s="2" t="inlineStr">
        <is>
          <t>Lunglav
Tretåig hackspett</t>
        </is>
      </c>
      <c r="S48">
        <f>HYPERLINK("https://klasma.github.io/Logging_FORSKNINGSRESAN_2025_BJURHOLM/artfynd/Lubbliden artfynd.xlsx", "Lubbliden")</f>
        <v/>
      </c>
      <c r="T48">
        <f>HYPERLINK("https://klasma.github.io/Logging_FORSKNINGSRESAN_2025_BJURHOLM/kartor/Lubbliden karta.png", "Lubbliden")</f>
        <v/>
      </c>
      <c r="V48">
        <f>HYPERLINK("https://klasma.github.io/Logging_FORSKNINGSRESAN_2025_BJURHOLM/klagomål/Lubbliden FSC-klagomål.docx", "Lubbliden")</f>
        <v/>
      </c>
      <c r="W48">
        <f>HYPERLINK("https://klasma.github.io/Logging_FORSKNINGSRESAN_2025_BJURHOLM/klagomålsmail/Lubbliden FSC-klagomål mail.docx", "Lubbliden")</f>
        <v/>
      </c>
      <c r="X48">
        <f>HYPERLINK("https://klasma.github.io/Logging_FORSKNINGSRESAN_2025_BJURHOLM/tillsyn/Lubbliden tillsynsbegäran.docx", "Lubbliden")</f>
        <v/>
      </c>
      <c r="Y48">
        <f>HYPERLINK("https://klasma.github.io/Logging_FORSKNINGSRESAN_2025_BJURHOLM/tillsynsmail/Lubbliden tillsynsbegäran mail.docx", "Lubbliden")</f>
        <v/>
      </c>
      <c r="Z48">
        <f>HYPERLINK("https://klasma.github.io/Logging_FORSKNINGSRESAN_2025_BJURHOLM/fåglar/Lubbliden prioriterade fågelarter.docx", "Lubbliden")</f>
        <v/>
      </c>
    </row>
    <row r="49" ht="15" customHeight="1">
      <c r="A49" t="inlineStr">
        <is>
          <t>Lögdeälven</t>
        </is>
      </c>
      <c r="B49" t="inlineStr">
        <is>
          <t>2025-07-21</t>
        </is>
      </c>
      <c r="C49" s="1" t="n">
        <v>45859</v>
      </c>
      <c r="D49" t="inlineStr"/>
      <c r="E49" t="inlineStr">
        <is>
          <t>Bjurholm</t>
        </is>
      </c>
      <c r="G49" t="n">
        <v>115.9</v>
      </c>
      <c r="H49" t="n">
        <v>0</v>
      </c>
      <c r="I49" t="n">
        <v>0</v>
      </c>
      <c r="J49" t="n">
        <v>2</v>
      </c>
      <c r="K49" t="n">
        <v>0</v>
      </c>
      <c r="L49" t="n">
        <v>0</v>
      </c>
      <c r="M49" t="n">
        <v>0</v>
      </c>
      <c r="N49" t="n">
        <v>0</v>
      </c>
      <c r="O49" t="n">
        <v>2</v>
      </c>
      <c r="P49" t="n">
        <v>0</v>
      </c>
      <c r="Q49" t="n">
        <v>2</v>
      </c>
      <c r="R49" s="2" t="inlineStr">
        <is>
          <t>Lunglav
Reliktbock</t>
        </is>
      </c>
      <c r="S49">
        <f>HYPERLINK("https://klasma.github.io/Logging_FORSKNINGSRESAN_2025_BJURHOLM/artfynd/Lögdeälven artfynd.xlsx", "Lögdeälven")</f>
        <v/>
      </c>
      <c r="T49">
        <f>HYPERLINK("https://klasma.github.io/Logging_FORSKNINGSRESAN_2025_BJURHOLM/kartor/Lögdeälven karta.png", "Lögdeälven")</f>
        <v/>
      </c>
      <c r="V49">
        <f>HYPERLINK("https://klasma.github.io/Logging_FORSKNINGSRESAN_2025_BJURHOLM/klagomål/Lögdeälven FSC-klagomål.docx", "Lögdeälven")</f>
        <v/>
      </c>
      <c r="W49">
        <f>HYPERLINK("https://klasma.github.io/Logging_FORSKNINGSRESAN_2025_BJURHOLM/klagomålsmail/Lögdeälven FSC-klagomål mail.docx", "Lögdeälven")</f>
        <v/>
      </c>
      <c r="X49">
        <f>HYPERLINK("https://klasma.github.io/Logging_FORSKNINGSRESAN_2025_BJURHOLM/tillsyn/Lögdeälven tillsynsbegäran.docx", "Lögdeälven")</f>
        <v/>
      </c>
      <c r="Y49">
        <f>HYPERLINK("https://klasma.github.io/Logging_FORSKNINGSRESAN_2025_BJURHOLM/tillsynsmail/Lögdeälven tillsynsbegäran mail.docx", "Lögdeälven")</f>
        <v/>
      </c>
    </row>
    <row r="50" ht="15" customHeight="1">
      <c r="A50" t="inlineStr">
        <is>
          <t>Röjdtjärnliden</t>
        </is>
      </c>
      <c r="B50" t="inlineStr">
        <is>
          <t>2025-07-21</t>
        </is>
      </c>
      <c r="C50" s="1" t="n">
        <v>45859</v>
      </c>
      <c r="D50" t="inlineStr"/>
      <c r="E50" t="inlineStr">
        <is>
          <t>Bjurholm</t>
        </is>
      </c>
      <c r="G50" t="n">
        <v>80.90000000000001</v>
      </c>
      <c r="H50" t="n">
        <v>0</v>
      </c>
      <c r="I50" t="n">
        <v>0</v>
      </c>
      <c r="J50" t="n">
        <v>1</v>
      </c>
      <c r="K50" t="n">
        <v>0</v>
      </c>
      <c r="L50" t="n">
        <v>0</v>
      </c>
      <c r="M50" t="n">
        <v>0</v>
      </c>
      <c r="N50" t="n">
        <v>0</v>
      </c>
      <c r="O50" t="n">
        <v>1</v>
      </c>
      <c r="P50" t="n">
        <v>0</v>
      </c>
      <c r="Q50" t="n">
        <v>1</v>
      </c>
      <c r="R50" s="2" t="inlineStr">
        <is>
          <t>Dvärgbägarlav</t>
        </is>
      </c>
      <c r="S50">
        <f>HYPERLINK("https://klasma.github.io/Logging_FORSKNINGSRESAN_2025_BJURHOLM/artfynd/Röjdtjärnliden artfynd.xlsx", "Röjdtjärnliden")</f>
        <v/>
      </c>
      <c r="T50">
        <f>HYPERLINK("https://klasma.github.io/Logging_FORSKNINGSRESAN_2025_BJURHOLM/kartor/Röjdtjärnliden karta.png", "Röjdtjärnliden")</f>
        <v/>
      </c>
      <c r="V50">
        <f>HYPERLINK("https://klasma.github.io/Logging_FORSKNINGSRESAN_2025_BJURHOLM/klagomål/Röjdtjärnliden FSC-klagomål.docx", "Röjdtjärnliden")</f>
        <v/>
      </c>
      <c r="W50">
        <f>HYPERLINK("https://klasma.github.io/Logging_FORSKNINGSRESAN_2025_BJURHOLM/klagomålsmail/Röjdtjärnliden FSC-klagomål mail.docx", "Röjdtjärnliden")</f>
        <v/>
      </c>
      <c r="X50">
        <f>HYPERLINK("https://klasma.github.io/Logging_FORSKNINGSRESAN_2025_BJURHOLM/tillsyn/Röjdtjärnliden tillsynsbegäran.docx", "Röjdtjärnliden")</f>
        <v/>
      </c>
      <c r="Y50">
        <f>HYPERLINK("https://klasma.github.io/Logging_FORSKNINGSRESAN_2025_BJURHOLM/tillsynsmail/Röjdtjärnliden tillsynsbegäran mail.docx", "Röjdtjärnliden")</f>
        <v/>
      </c>
    </row>
    <row r="51" ht="15" customHeight="1">
      <c r="A51" t="inlineStr">
        <is>
          <t>Johannesbomyran</t>
        </is>
      </c>
      <c r="B51" t="inlineStr">
        <is>
          <t>2025-07-21</t>
        </is>
      </c>
      <c r="C51" s="1" t="n">
        <v>45859</v>
      </c>
      <c r="D51" t="inlineStr"/>
      <c r="E51" t="inlineStr">
        <is>
          <t>Bjurholm</t>
        </is>
      </c>
      <c r="G51" t="n">
        <v>66.09999999999999</v>
      </c>
      <c r="H51" t="n">
        <v>1</v>
      </c>
      <c r="I51" t="n">
        <v>0</v>
      </c>
      <c r="J51" t="n">
        <v>0</v>
      </c>
      <c r="K51" t="n">
        <v>1</v>
      </c>
      <c r="L51" t="n">
        <v>0</v>
      </c>
      <c r="M51" t="n">
        <v>0</v>
      </c>
      <c r="N51" t="n">
        <v>0</v>
      </c>
      <c r="O51" t="n">
        <v>1</v>
      </c>
      <c r="P51" t="n">
        <v>1</v>
      </c>
      <c r="Q51" t="n">
        <v>1</v>
      </c>
      <c r="R51" s="2" t="inlineStr">
        <is>
          <t>Knärot</t>
        </is>
      </c>
      <c r="S51">
        <f>HYPERLINK("https://klasma.github.io/Logging_FORSKNINGSRESAN_2025_BJURHOLM/artfynd/Johannesbomyran artfynd.xlsx", "Johannesbomyran")</f>
        <v/>
      </c>
      <c r="T51">
        <f>HYPERLINK("https://klasma.github.io/Logging_FORSKNINGSRESAN_2025_BJURHOLM/kartor/Johannesbomyran karta.png", "Johannesbomyran")</f>
        <v/>
      </c>
      <c r="U51">
        <f>HYPERLINK("https://klasma.github.io/Logging_FORSKNINGSRESAN_2025_BJURHOLM/knärot/Johannesbomyran karta knärot.png", "Johannesbomyran")</f>
        <v/>
      </c>
      <c r="V51">
        <f>HYPERLINK("https://klasma.github.io/Logging_FORSKNINGSRESAN_2025_BJURHOLM/klagomål/Johannesbomyran FSC-klagomål.docx", "Johannesbomyran")</f>
        <v/>
      </c>
      <c r="W51">
        <f>HYPERLINK("https://klasma.github.io/Logging_FORSKNINGSRESAN_2025_BJURHOLM/klagomålsmail/Johannesbomyran FSC-klagomål mail.docx", "Johannesbomyran")</f>
        <v/>
      </c>
      <c r="X51">
        <f>HYPERLINK("https://klasma.github.io/Logging_FORSKNINGSRESAN_2025_BJURHOLM/tillsyn/Johannesbomyran tillsynsbegäran.docx", "Johannesbomyran")</f>
        <v/>
      </c>
      <c r="Y51">
        <f>HYPERLINK("https://klasma.github.io/Logging_FORSKNINGSRESAN_2025_BJURHOLM/tillsynsmail/Johannesbomyran tillsynsbegäran mail.docx", "Johannesbomyran")</f>
        <v/>
      </c>
    </row>
    <row r="52" ht="15" customHeight="1">
      <c r="A52" t="inlineStr">
        <is>
          <t>Tomasmyren SO</t>
        </is>
      </c>
      <c r="B52" t="inlineStr">
        <is>
          <t>2025-07-21</t>
        </is>
      </c>
      <c r="C52" s="1" t="n">
        <v>45859</v>
      </c>
      <c r="D52" t="inlineStr"/>
      <c r="E52" t="inlineStr">
        <is>
          <t>Bjurholm</t>
        </is>
      </c>
      <c r="G52" t="n">
        <v>68.3</v>
      </c>
      <c r="H52" t="n">
        <v>1</v>
      </c>
      <c r="I52" t="n">
        <v>0</v>
      </c>
      <c r="J52" t="n">
        <v>0</v>
      </c>
      <c r="K52" t="n">
        <v>0</v>
      </c>
      <c r="L52" t="n">
        <v>0</v>
      </c>
      <c r="M52" t="n">
        <v>0</v>
      </c>
      <c r="N52" t="n">
        <v>0</v>
      </c>
      <c r="O52" t="n">
        <v>0</v>
      </c>
      <c r="P52" t="n">
        <v>0</v>
      </c>
      <c r="Q52" t="n">
        <v>1</v>
      </c>
      <c r="R52" s="2" t="inlineStr">
        <is>
          <t>Nattviol</t>
        </is>
      </c>
      <c r="S52">
        <f>HYPERLINK("https://klasma.github.io/Logging_FORSKNINGSRESAN_2025_BJURHOLM/artfynd/Tomasmyren SO artfynd.xlsx", "Tomasmyren SO")</f>
        <v/>
      </c>
      <c r="T52">
        <f>HYPERLINK("https://klasma.github.io/Logging_FORSKNINGSRESAN_2025_BJURHOLM/kartor/Tomasmyren SO karta.png", "Tomasmyren SO")</f>
        <v/>
      </c>
      <c r="V52">
        <f>HYPERLINK("https://klasma.github.io/Logging_FORSKNINGSRESAN_2025_BJURHOLM/klagomål/Tomasmyren SO FSC-klagomål.docx", "Tomasmyren SO")</f>
        <v/>
      </c>
      <c r="W52">
        <f>HYPERLINK("https://klasma.github.io/Logging_FORSKNINGSRESAN_2025_BJURHOLM/klagomålsmail/Tomasmyren SO FSC-klagomål mail.docx", "Tomasmyren SO")</f>
        <v/>
      </c>
      <c r="X52">
        <f>HYPERLINK("https://klasma.github.io/Logging_FORSKNINGSRESAN_2025_BJURHOLM/tillsyn/Tomasmyren SO tillsynsbegäran.docx", "Tomasmyren SO")</f>
        <v/>
      </c>
      <c r="Y52">
        <f>HYPERLINK("https://klasma.github.io/Logging_FORSKNINGSRESAN_2025_BJURHOLM/tillsynsmail/Tomasmyren SO tillsynsbegäran mail.docx", "Tomasmyren SO")</f>
        <v/>
      </c>
    </row>
    <row r="53" ht="15" customHeight="1">
      <c r="A53" t="inlineStr">
        <is>
          <t>Tosktjärnberget</t>
        </is>
      </c>
      <c r="B53" t="inlineStr">
        <is>
          <t>2025-07-21</t>
        </is>
      </c>
      <c r="C53" s="1" t="n">
        <v>45859</v>
      </c>
      <c r="D53" t="inlineStr"/>
      <c r="E53" t="inlineStr">
        <is>
          <t>Bjurholm</t>
        </is>
      </c>
      <c r="G53" t="n">
        <v>55</v>
      </c>
      <c r="H53" t="n">
        <v>0</v>
      </c>
      <c r="I53" t="n">
        <v>0</v>
      </c>
      <c r="J53" t="n">
        <v>1</v>
      </c>
      <c r="K53" t="n">
        <v>0</v>
      </c>
      <c r="L53" t="n">
        <v>0</v>
      </c>
      <c r="M53" t="n">
        <v>0</v>
      </c>
      <c r="N53" t="n">
        <v>0</v>
      </c>
      <c r="O53" t="n">
        <v>1</v>
      </c>
      <c r="P53" t="n">
        <v>0</v>
      </c>
      <c r="Q53" t="n">
        <v>1</v>
      </c>
      <c r="R53" s="2" t="inlineStr">
        <is>
          <t>Dvärgbägarlav</t>
        </is>
      </c>
      <c r="S53">
        <f>HYPERLINK("https://klasma.github.io/Logging_FORSKNINGSRESAN_2025_BJURHOLM/artfynd/Tosktjärnberget artfynd.xlsx", "Tosktjärnberget")</f>
        <v/>
      </c>
      <c r="T53">
        <f>HYPERLINK("https://klasma.github.io/Logging_FORSKNINGSRESAN_2025_BJURHOLM/kartor/Tosktjärnberget karta.png", "Tosktjärnberget")</f>
        <v/>
      </c>
      <c r="V53">
        <f>HYPERLINK("https://klasma.github.io/Logging_FORSKNINGSRESAN_2025_BJURHOLM/klagomål/Tosktjärnberget FSC-klagomål.docx", "Tosktjärnberget")</f>
        <v/>
      </c>
      <c r="W53">
        <f>HYPERLINK("https://klasma.github.io/Logging_FORSKNINGSRESAN_2025_BJURHOLM/klagomålsmail/Tosktjärnberget FSC-klagomål mail.docx", "Tosktjärnberget")</f>
        <v/>
      </c>
      <c r="X53">
        <f>HYPERLINK("https://klasma.github.io/Logging_FORSKNINGSRESAN_2025_BJURHOLM/tillsyn/Tosktjärnberget tillsynsbegäran.docx", "Tosktjärnberget")</f>
        <v/>
      </c>
      <c r="Y53">
        <f>HYPERLINK("https://klasma.github.io/Logging_FORSKNINGSRESAN_2025_BJURHOLM/tillsynsmail/Tosktjärnberget tillsynsbegäran mail.docx", "Tosktjärnberget")</f>
        <v/>
      </c>
    </row>
    <row r="54" ht="15" customHeight="1">
      <c r="A54" t="inlineStr">
        <is>
          <t>Nordmalingstjärnen</t>
        </is>
      </c>
      <c r="B54" t="inlineStr">
        <is>
          <t>2025-07-21</t>
        </is>
      </c>
      <c r="C54" s="1" t="n">
        <v>45859</v>
      </c>
      <c r="D54" t="inlineStr"/>
      <c r="E54" t="inlineStr">
        <is>
          <t>Bjurholm</t>
        </is>
      </c>
      <c r="G54" t="n">
        <v>33.9</v>
      </c>
      <c r="H54" t="n">
        <v>0</v>
      </c>
      <c r="I54" t="n">
        <v>0</v>
      </c>
      <c r="J54" t="n">
        <v>0</v>
      </c>
      <c r="K54" t="n">
        <v>0</v>
      </c>
      <c r="L54" t="n">
        <v>0</v>
      </c>
      <c r="M54" t="n">
        <v>0</v>
      </c>
      <c r="N54" t="n">
        <v>0</v>
      </c>
      <c r="O54" t="n">
        <v>0</v>
      </c>
      <c r="P54" t="n">
        <v>0</v>
      </c>
      <c r="Q54" t="n">
        <v>0</v>
      </c>
      <c r="R54" s="2" t="inlineStr"/>
    </row>
    <row r="55" ht="15" customHeight="1">
      <c r="A55" t="inlineStr">
        <is>
          <t>Svarttjärnen</t>
        </is>
      </c>
      <c r="B55" t="inlineStr">
        <is>
          <t>2025-07-21</t>
        </is>
      </c>
      <c r="C55" s="1" t="n">
        <v>45859</v>
      </c>
      <c r="D55" t="inlineStr"/>
      <c r="E55" t="inlineStr">
        <is>
          <t>Bjurholm</t>
        </is>
      </c>
      <c r="G55" t="n">
        <v>76.5</v>
      </c>
      <c r="H55" t="n">
        <v>0</v>
      </c>
      <c r="I55" t="n">
        <v>0</v>
      </c>
      <c r="J55" t="n">
        <v>0</v>
      </c>
      <c r="K55" t="n">
        <v>0</v>
      </c>
      <c r="L55" t="n">
        <v>0</v>
      </c>
      <c r="M55" t="n">
        <v>0</v>
      </c>
      <c r="N55" t="n">
        <v>0</v>
      </c>
      <c r="O55" t="n">
        <v>0</v>
      </c>
      <c r="P55" t="n">
        <v>0</v>
      </c>
      <c r="Q55" t="n">
        <v>0</v>
      </c>
      <c r="R55" s="2" t="inlineStr"/>
    </row>
    <row r="56" ht="15" customHeight="1">
      <c r="A56" t="inlineStr">
        <is>
          <t>Lubbliden 2</t>
        </is>
      </c>
      <c r="B56" t="inlineStr">
        <is>
          <t>2025-07-21</t>
        </is>
      </c>
      <c r="C56" s="1" t="n">
        <v>45859</v>
      </c>
      <c r="D56" t="inlineStr"/>
      <c r="E56" t="inlineStr">
        <is>
          <t>Bjurholm</t>
        </is>
      </c>
      <c r="G56" t="n">
        <v>96.8</v>
      </c>
      <c r="H56" t="n">
        <v>0</v>
      </c>
      <c r="I56" t="n">
        <v>0</v>
      </c>
      <c r="J56" t="n">
        <v>0</v>
      </c>
      <c r="K56" t="n">
        <v>0</v>
      </c>
      <c r="L56" t="n">
        <v>0</v>
      </c>
      <c r="M56" t="n">
        <v>0</v>
      </c>
      <c r="N56" t="n">
        <v>0</v>
      </c>
      <c r="O56" t="n">
        <v>0</v>
      </c>
      <c r="P56" t="n">
        <v>0</v>
      </c>
      <c r="Q56" t="n">
        <v>0</v>
      </c>
      <c r="R56" s="2" t="inlineStr"/>
    </row>
    <row r="57" ht="15" customHeight="1">
      <c r="A57" t="inlineStr">
        <is>
          <t>Hötjärnberget NORR</t>
        </is>
      </c>
      <c r="B57" t="inlineStr">
        <is>
          <t>2025-07-21</t>
        </is>
      </c>
      <c r="C57" s="1" t="n">
        <v>45859</v>
      </c>
      <c r="D57" t="inlineStr"/>
      <c r="E57" t="inlineStr">
        <is>
          <t>Bjurholm</t>
        </is>
      </c>
      <c r="G57" t="n">
        <v>26.8</v>
      </c>
      <c r="H57" t="n">
        <v>0</v>
      </c>
      <c r="I57" t="n">
        <v>0</v>
      </c>
      <c r="J57" t="n">
        <v>0</v>
      </c>
      <c r="K57" t="n">
        <v>0</v>
      </c>
      <c r="L57" t="n">
        <v>0</v>
      </c>
      <c r="M57" t="n">
        <v>0</v>
      </c>
      <c r="N57" t="n">
        <v>0</v>
      </c>
      <c r="O57" t="n">
        <v>0</v>
      </c>
      <c r="P57" t="n">
        <v>0</v>
      </c>
      <c r="Q57" t="n">
        <v>0</v>
      </c>
      <c r="R57" s="2" t="inlineStr"/>
    </row>
    <row r="58" ht="15" customHeight="1">
      <c r="A58" t="inlineStr">
        <is>
          <t>Mjösjöberget V</t>
        </is>
      </c>
      <c r="B58" t="inlineStr">
        <is>
          <t>2025-07-21</t>
        </is>
      </c>
      <c r="C58" s="1" t="n">
        <v>45859</v>
      </c>
      <c r="D58" t="inlineStr"/>
      <c r="E58" t="inlineStr">
        <is>
          <t>Bjurholm</t>
        </is>
      </c>
      <c r="G58" t="n">
        <v>29.8</v>
      </c>
      <c r="H58" t="n">
        <v>0</v>
      </c>
      <c r="I58" t="n">
        <v>0</v>
      </c>
      <c r="J58" t="n">
        <v>0</v>
      </c>
      <c r="K58" t="n">
        <v>0</v>
      </c>
      <c r="L58" t="n">
        <v>0</v>
      </c>
      <c r="M58" t="n">
        <v>0</v>
      </c>
      <c r="N58" t="n">
        <v>0</v>
      </c>
      <c r="O58" t="n">
        <v>0</v>
      </c>
      <c r="P58" t="n">
        <v>0</v>
      </c>
      <c r="Q58" t="n">
        <v>0</v>
      </c>
      <c r="R58" s="2" t="inlineStr"/>
    </row>
    <row r="59" ht="15" customHeight="1">
      <c r="A59" t="inlineStr">
        <is>
          <t>Tomasmyren V</t>
        </is>
      </c>
      <c r="B59" t="inlineStr">
        <is>
          <t>2025-07-21</t>
        </is>
      </c>
      <c r="C59" s="1" t="n">
        <v>45859</v>
      </c>
      <c r="D59" t="inlineStr"/>
      <c r="E59" t="inlineStr">
        <is>
          <t>Bjurholm</t>
        </is>
      </c>
      <c r="G59" t="n">
        <v>20.4</v>
      </c>
      <c r="H59" t="n">
        <v>0</v>
      </c>
      <c r="I59" t="n">
        <v>0</v>
      </c>
      <c r="J59" t="n">
        <v>0</v>
      </c>
      <c r="K59" t="n">
        <v>0</v>
      </c>
      <c r="L59" t="n">
        <v>0</v>
      </c>
      <c r="M59" t="n">
        <v>0</v>
      </c>
      <c r="N59" t="n">
        <v>0</v>
      </c>
      <c r="O59" t="n">
        <v>0</v>
      </c>
      <c r="P59" t="n">
        <v>0</v>
      </c>
      <c r="Q59" t="n">
        <v>0</v>
      </c>
      <c r="R59" s="2" t="inlineStr"/>
    </row>
    <row r="60" ht="15" customHeight="1">
      <c r="A60" t="inlineStr">
        <is>
          <t>Lustigbacken</t>
        </is>
      </c>
      <c r="B60" t="inlineStr">
        <is>
          <t>2025-07-21</t>
        </is>
      </c>
      <c r="C60" s="1" t="n">
        <v>45859</v>
      </c>
      <c r="D60" t="inlineStr"/>
      <c r="E60" t="inlineStr">
        <is>
          <t>Bjurholm</t>
        </is>
      </c>
      <c r="G60" t="n">
        <v>18.7</v>
      </c>
      <c r="H60" t="n">
        <v>0</v>
      </c>
      <c r="I60" t="n">
        <v>0</v>
      </c>
      <c r="J60" t="n">
        <v>0</v>
      </c>
      <c r="K60" t="n">
        <v>0</v>
      </c>
      <c r="L60" t="n">
        <v>0</v>
      </c>
      <c r="M60" t="n">
        <v>0</v>
      </c>
      <c r="N60" t="n">
        <v>0</v>
      </c>
      <c r="O60" t="n">
        <v>0</v>
      </c>
      <c r="P60" t="n">
        <v>0</v>
      </c>
      <c r="Q60" t="n">
        <v>0</v>
      </c>
      <c r="R60" s="2" t="inlineStr"/>
    </row>
    <row r="61" ht="15" customHeight="1">
      <c r="A61" t="inlineStr">
        <is>
          <t>Lill-Lögdåberget V</t>
        </is>
      </c>
      <c r="B61" t="inlineStr">
        <is>
          <t>2025-07-21</t>
        </is>
      </c>
      <c r="C61" s="1" t="n">
        <v>45859</v>
      </c>
      <c r="D61" t="inlineStr"/>
      <c r="E61" t="inlineStr">
        <is>
          <t>Bjurholm</t>
        </is>
      </c>
      <c r="G61" t="n">
        <v>18.1</v>
      </c>
      <c r="H61" t="n">
        <v>0</v>
      </c>
      <c r="I61" t="n">
        <v>0</v>
      </c>
      <c r="J61" t="n">
        <v>0</v>
      </c>
      <c r="K61" t="n">
        <v>0</v>
      </c>
      <c r="L61" t="n">
        <v>0</v>
      </c>
      <c r="M61" t="n">
        <v>0</v>
      </c>
      <c r="N61" t="n">
        <v>0</v>
      </c>
      <c r="O61" t="n">
        <v>0</v>
      </c>
      <c r="P61" t="n">
        <v>0</v>
      </c>
      <c r="Q61" t="n">
        <v>0</v>
      </c>
      <c r="R61" s="2" t="inlineStr"/>
    </row>
    <row r="62" ht="15" customHeight="1">
      <c r="A62" t="inlineStr">
        <is>
          <t>Stor-Bergvattnet</t>
        </is>
      </c>
      <c r="B62" t="inlineStr">
        <is>
          <t>2025-07-21</t>
        </is>
      </c>
      <c r="C62" s="1" t="n">
        <v>45859</v>
      </c>
      <c r="D62" t="inlineStr"/>
      <c r="E62" t="inlineStr">
        <is>
          <t>Bjurholm</t>
        </is>
      </c>
      <c r="G62" t="n">
        <v>20.8</v>
      </c>
      <c r="H62" t="n">
        <v>0</v>
      </c>
      <c r="I62" t="n">
        <v>0</v>
      </c>
      <c r="J62" t="n">
        <v>0</v>
      </c>
      <c r="K62" t="n">
        <v>0</v>
      </c>
      <c r="L62" t="n">
        <v>0</v>
      </c>
      <c r="M62" t="n">
        <v>0</v>
      </c>
      <c r="N62" t="n">
        <v>0</v>
      </c>
      <c r="O62" t="n">
        <v>0</v>
      </c>
      <c r="P62" t="n">
        <v>0</v>
      </c>
      <c r="Q62" t="n">
        <v>0</v>
      </c>
      <c r="R62" s="2" t="inlineStr"/>
    </row>
    <row r="63" ht="15" customHeight="1">
      <c r="A63" t="inlineStr">
        <is>
          <t>Halvförensbäcken</t>
        </is>
      </c>
      <c r="B63" t="inlineStr">
        <is>
          <t>2025-07-21</t>
        </is>
      </c>
      <c r="C63" s="1" t="n">
        <v>45859</v>
      </c>
      <c r="D63" t="inlineStr"/>
      <c r="E63" t="inlineStr">
        <is>
          <t>Bjurholm</t>
        </is>
      </c>
      <c r="G63" t="n">
        <v>42</v>
      </c>
      <c r="H63" t="n">
        <v>0</v>
      </c>
      <c r="I63" t="n">
        <v>0</v>
      </c>
      <c r="J63" t="n">
        <v>0</v>
      </c>
      <c r="K63" t="n">
        <v>0</v>
      </c>
      <c r="L63" t="n">
        <v>0</v>
      </c>
      <c r="M63" t="n">
        <v>0</v>
      </c>
      <c r="N63" t="n">
        <v>0</v>
      </c>
      <c r="O63" t="n">
        <v>0</v>
      </c>
      <c r="P63" t="n">
        <v>0</v>
      </c>
      <c r="Q63" t="n">
        <v>0</v>
      </c>
      <c r="R63" s="2" t="inlineStr"/>
    </row>
    <row r="64" ht="15" customHeight="1">
      <c r="A64" t="inlineStr">
        <is>
          <t>Åviksskatan</t>
        </is>
      </c>
      <c r="B64" t="inlineStr">
        <is>
          <t>2025-07-21</t>
        </is>
      </c>
      <c r="C64" s="1" t="n">
        <v>45859</v>
      </c>
      <c r="D64" t="inlineStr"/>
      <c r="E64" t="inlineStr">
        <is>
          <t>Bjurholm</t>
        </is>
      </c>
      <c r="G64" t="n">
        <v>13.4</v>
      </c>
      <c r="H64" t="n">
        <v>0</v>
      </c>
      <c r="I64" t="n">
        <v>0</v>
      </c>
      <c r="J64" t="n">
        <v>0</v>
      </c>
      <c r="K64" t="n">
        <v>0</v>
      </c>
      <c r="L64" t="n">
        <v>0</v>
      </c>
      <c r="M64" t="n">
        <v>0</v>
      </c>
      <c r="N64" t="n">
        <v>0</v>
      </c>
      <c r="O64" t="n">
        <v>0</v>
      </c>
      <c r="P64" t="n">
        <v>0</v>
      </c>
      <c r="Q64" t="n">
        <v>0</v>
      </c>
      <c r="R64" s="2" t="inlineStr"/>
    </row>
    <row r="65">
      <c r="A65" t="inlineStr">
        <is>
          <t>Dalsmyrbäcken</t>
        </is>
      </c>
      <c r="B65" t="inlineStr">
        <is>
          <t>2025-07-21</t>
        </is>
      </c>
      <c r="C65" s="1" t="n">
        <v>45859</v>
      </c>
      <c r="D65" t="inlineStr"/>
      <c r="E65" t="inlineStr">
        <is>
          <t>Bjurholm</t>
        </is>
      </c>
      <c r="G65" t="n">
        <v>14.7</v>
      </c>
      <c r="H65" t="n">
        <v>0</v>
      </c>
      <c r="I65" t="n">
        <v>0</v>
      </c>
      <c r="J65" t="n">
        <v>0</v>
      </c>
      <c r="K65" t="n">
        <v>0</v>
      </c>
      <c r="L65" t="n">
        <v>0</v>
      </c>
      <c r="M65" t="n">
        <v>0</v>
      </c>
      <c r="N65" t="n">
        <v>0</v>
      </c>
      <c r="O65" t="n">
        <v>0</v>
      </c>
      <c r="P65" t="n">
        <v>0</v>
      </c>
      <c r="Q65" t="n">
        <v>0</v>
      </c>
      <c r="R6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2025-07-21T21:23:38Z</dcterms:created>
  <dcterms:modified xmlns:dcterms="http://purl.org/dc/terms/" xmlns:xsi="http://www.w3.org/2001/XMLSchema-instance" xsi:type="dcterms:W3CDTF">2025-07-21T21:23:38Z</dcterms:modified>
</cp:coreProperties>
</file>