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45209</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14918-2023.xlsx", "A 14918-2023")</f>
        <v/>
      </c>
      <c r="T2">
        <f>HYPERLINK("https://klasma.github.io/Logging_2104/kartor/A 14918-2023.png", "A 14918-2023")</f>
        <v/>
      </c>
      <c r="U2">
        <f>HYPERLINK("https://klasma.github.io/Logging_2104/knärot/A 14918-2023.png", "A 14918-2023")</f>
        <v/>
      </c>
      <c r="V2">
        <f>HYPERLINK("https://klasma.github.io/Logging_2104/klagomål/A 14918-2023.docx", "A 14918-2023")</f>
        <v/>
      </c>
      <c r="W2">
        <f>HYPERLINK("https://klasma.github.io/Logging_2104/klagomålsmail/A 14918-2023.docx", "A 14918-2023")</f>
        <v/>
      </c>
      <c r="X2">
        <f>HYPERLINK("https://klasma.github.io/Logging_2104/tillsyn/A 14918-2023.docx", "A 14918-2023")</f>
        <v/>
      </c>
      <c r="Y2">
        <f>HYPERLINK("https://klasma.github.io/Logging_2104/tillsynsmail/A 14918-2023.docx", "A 14918-2023")</f>
        <v/>
      </c>
    </row>
    <row r="3" ht="15" customHeight="1">
      <c r="A3" t="inlineStr">
        <is>
          <t>A 37176-2022</t>
        </is>
      </c>
      <c r="B3" s="1" t="n">
        <v>44806</v>
      </c>
      <c r="C3" s="1" t="n">
        <v>45209</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37176-2022.xlsx", "A 37176-2022")</f>
        <v/>
      </c>
      <c r="T3">
        <f>HYPERLINK("https://klasma.github.io/Logging_2104/kartor/A 37176-2022.png", "A 37176-2022")</f>
        <v/>
      </c>
      <c r="U3">
        <f>HYPERLINK("https://klasma.github.io/Logging_2104/knärot/A 37176-2022.png", "A 37176-2022")</f>
        <v/>
      </c>
      <c r="V3">
        <f>HYPERLINK("https://klasma.github.io/Logging_2104/klagomål/A 37176-2022.docx", "A 37176-2022")</f>
        <v/>
      </c>
      <c r="W3">
        <f>HYPERLINK("https://klasma.github.io/Logging_2104/klagomålsmail/A 37176-2022.docx", "A 37176-2022")</f>
        <v/>
      </c>
      <c r="X3">
        <f>HYPERLINK("https://klasma.github.io/Logging_2104/tillsyn/A 37176-2022.docx", "A 37176-2022")</f>
        <v/>
      </c>
      <c r="Y3">
        <f>HYPERLINK("https://klasma.github.io/Logging_2104/tillsynsmail/A 37176-2022.docx", "A 37176-2022")</f>
        <v/>
      </c>
    </row>
    <row r="4" ht="15" customHeight="1">
      <c r="A4" t="inlineStr">
        <is>
          <t>A 34616-2022</t>
        </is>
      </c>
      <c r="B4" s="1" t="n">
        <v>44795</v>
      </c>
      <c r="C4" s="1" t="n">
        <v>45209</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34616-2022.xlsx", "A 34616-2022")</f>
        <v/>
      </c>
      <c r="T4">
        <f>HYPERLINK("https://klasma.github.io/Logging_2104/kartor/A 34616-2022.png", "A 34616-2022")</f>
        <v/>
      </c>
      <c r="U4">
        <f>HYPERLINK("https://klasma.github.io/Logging_2104/knärot/A 34616-2022.png", "A 34616-2022")</f>
        <v/>
      </c>
      <c r="V4">
        <f>HYPERLINK("https://klasma.github.io/Logging_2104/klagomål/A 34616-2022.docx", "A 34616-2022")</f>
        <v/>
      </c>
      <c r="W4">
        <f>HYPERLINK("https://klasma.github.io/Logging_2104/klagomålsmail/A 34616-2022.docx", "A 34616-2022")</f>
        <v/>
      </c>
      <c r="X4">
        <f>HYPERLINK("https://klasma.github.io/Logging_2104/tillsyn/A 34616-2022.docx", "A 34616-2022")</f>
        <v/>
      </c>
      <c r="Y4">
        <f>HYPERLINK("https://klasma.github.io/Logging_2104/tillsynsmail/A 34616-2022.docx", "A 34616-2022")</f>
        <v/>
      </c>
    </row>
    <row r="5" ht="15" customHeight="1">
      <c r="A5" t="inlineStr">
        <is>
          <t>A 44984-2018</t>
        </is>
      </c>
      <c r="B5" s="1" t="n">
        <v>43362</v>
      </c>
      <c r="C5" s="1" t="n">
        <v>45209</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44984-2018.xlsx", "A 44984-2018")</f>
        <v/>
      </c>
      <c r="T5">
        <f>HYPERLINK("https://klasma.github.io/Logging_2184/kartor/A 44984-2018.png", "A 44984-2018")</f>
        <v/>
      </c>
      <c r="U5">
        <f>HYPERLINK("https://klasma.github.io/Logging_2184/knärot/A 44984-2018.png", "A 44984-2018")</f>
        <v/>
      </c>
      <c r="V5">
        <f>HYPERLINK("https://klasma.github.io/Logging_2184/klagomål/A 44984-2018.docx", "A 44984-2018")</f>
        <v/>
      </c>
      <c r="W5">
        <f>HYPERLINK("https://klasma.github.io/Logging_2184/klagomålsmail/A 44984-2018.docx", "A 44984-2018")</f>
        <v/>
      </c>
      <c r="X5">
        <f>HYPERLINK("https://klasma.github.io/Logging_2184/tillsyn/A 44984-2018.docx", "A 44984-2018")</f>
        <v/>
      </c>
      <c r="Y5">
        <f>HYPERLINK("https://klasma.github.io/Logging_2184/tillsynsmail/A 44984-2018.docx", "A 44984-2018")</f>
        <v/>
      </c>
    </row>
    <row r="6" ht="15" customHeight="1">
      <c r="A6" t="inlineStr">
        <is>
          <t>A 38730-2023</t>
        </is>
      </c>
      <c r="B6" s="1" t="n">
        <v>45163</v>
      </c>
      <c r="C6" s="1" t="n">
        <v>45209</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38730-2023.xlsx", "A 38730-2023")</f>
        <v/>
      </c>
      <c r="T6">
        <f>HYPERLINK("https://klasma.github.io/Logging_2104/kartor/A 38730-2023.png", "A 38730-2023")</f>
        <v/>
      </c>
      <c r="U6">
        <f>HYPERLINK("https://klasma.github.io/Logging_2104/knärot/A 38730-2023.png", "A 38730-2023")</f>
        <v/>
      </c>
      <c r="V6">
        <f>HYPERLINK("https://klasma.github.io/Logging_2104/klagomål/A 38730-2023.docx", "A 38730-2023")</f>
        <v/>
      </c>
      <c r="W6">
        <f>HYPERLINK("https://klasma.github.io/Logging_2104/klagomålsmail/A 38730-2023.docx", "A 38730-2023")</f>
        <v/>
      </c>
      <c r="X6">
        <f>HYPERLINK("https://klasma.github.io/Logging_2104/tillsyn/A 38730-2023.docx", "A 38730-2023")</f>
        <v/>
      </c>
      <c r="Y6">
        <f>HYPERLINK("https://klasma.github.io/Logging_2104/tillsynsmail/A 38730-2023.docx", "A 38730-2023")</f>
        <v/>
      </c>
    </row>
    <row r="7" ht="15" customHeight="1">
      <c r="A7" t="inlineStr">
        <is>
          <t>A 13021-2022</t>
        </is>
      </c>
      <c r="B7" s="1" t="n">
        <v>44643</v>
      </c>
      <c r="C7" s="1" t="n">
        <v>45209</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13021-2022.xlsx", "A 13021-2022")</f>
        <v/>
      </c>
      <c r="T7">
        <f>HYPERLINK("https://klasma.github.io/Logging_2184/kartor/A 13021-2022.png", "A 13021-2022")</f>
        <v/>
      </c>
      <c r="V7">
        <f>HYPERLINK("https://klasma.github.io/Logging_2184/klagomål/A 13021-2022.docx", "A 13021-2022")</f>
        <v/>
      </c>
      <c r="W7">
        <f>HYPERLINK("https://klasma.github.io/Logging_2184/klagomålsmail/A 13021-2022.docx", "A 13021-2022")</f>
        <v/>
      </c>
      <c r="X7">
        <f>HYPERLINK("https://klasma.github.io/Logging_2184/tillsyn/A 13021-2022.docx", "A 13021-2022")</f>
        <v/>
      </c>
      <c r="Y7">
        <f>HYPERLINK("https://klasma.github.io/Logging_2184/tillsynsmail/A 13021-2022.docx", "A 13021-2022")</f>
        <v/>
      </c>
    </row>
    <row r="8" ht="15" customHeight="1">
      <c r="A8" t="inlineStr">
        <is>
          <t>A 29141-2021</t>
        </is>
      </c>
      <c r="B8" s="1" t="n">
        <v>44358</v>
      </c>
      <c r="C8" s="1" t="n">
        <v>45209</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29141-2021.xlsx", "A 29141-2021")</f>
        <v/>
      </c>
      <c r="T8">
        <f>HYPERLINK("https://klasma.github.io/Logging_2161/kartor/A 29141-2021.png", "A 29141-2021")</f>
        <v/>
      </c>
      <c r="U8">
        <f>HYPERLINK("https://klasma.github.io/Logging_2161/knärot/A 29141-2021.png", "A 29141-2021")</f>
        <v/>
      </c>
      <c r="V8">
        <f>HYPERLINK("https://klasma.github.io/Logging_2161/klagomål/A 29141-2021.docx", "A 29141-2021")</f>
        <v/>
      </c>
      <c r="W8">
        <f>HYPERLINK("https://klasma.github.io/Logging_2161/klagomålsmail/A 29141-2021.docx", "A 29141-2021")</f>
        <v/>
      </c>
      <c r="X8">
        <f>HYPERLINK("https://klasma.github.io/Logging_2161/tillsyn/A 29141-2021.docx", "A 29141-2021")</f>
        <v/>
      </c>
      <c r="Y8">
        <f>HYPERLINK("https://klasma.github.io/Logging_2161/tillsynsmail/A 29141-2021.docx", "A 29141-2021")</f>
        <v/>
      </c>
    </row>
    <row r="9" ht="15" customHeight="1">
      <c r="A9" t="inlineStr">
        <is>
          <t>A 2508-2020</t>
        </is>
      </c>
      <c r="B9" s="1" t="n">
        <v>43847</v>
      </c>
      <c r="C9" s="1" t="n">
        <v>45209</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2508-2020.xlsx", "A 2508-2020")</f>
        <v/>
      </c>
      <c r="T9">
        <f>HYPERLINK("https://klasma.github.io/Logging_2121/kartor/A 2508-2020.png", "A 2508-2020")</f>
        <v/>
      </c>
      <c r="U9">
        <f>HYPERLINK("https://klasma.github.io/Logging_2121/knärot/A 2508-2020.png", "A 2508-2020")</f>
        <v/>
      </c>
      <c r="V9">
        <f>HYPERLINK("https://klasma.github.io/Logging_2121/klagomål/A 2508-2020.docx", "A 2508-2020")</f>
        <v/>
      </c>
      <c r="W9">
        <f>HYPERLINK("https://klasma.github.io/Logging_2121/klagomålsmail/A 2508-2020.docx", "A 2508-2020")</f>
        <v/>
      </c>
      <c r="X9">
        <f>HYPERLINK("https://klasma.github.io/Logging_2121/tillsyn/A 2508-2020.docx", "A 2508-2020")</f>
        <v/>
      </c>
      <c r="Y9">
        <f>HYPERLINK("https://klasma.github.io/Logging_2121/tillsynsmail/A 2508-2020.docx", "A 2508-2020")</f>
        <v/>
      </c>
    </row>
    <row r="10" ht="15" customHeight="1">
      <c r="A10" t="inlineStr">
        <is>
          <t>A 55441-2020</t>
        </is>
      </c>
      <c r="B10" s="1" t="n">
        <v>44131</v>
      </c>
      <c r="C10" s="1" t="n">
        <v>45209</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55441-2020.xlsx", "A 55441-2020")</f>
        <v/>
      </c>
      <c r="T10">
        <f>HYPERLINK("https://klasma.github.io/Logging_2184/kartor/A 55441-2020.png", "A 55441-2020")</f>
        <v/>
      </c>
      <c r="U10">
        <f>HYPERLINK("https://klasma.github.io/Logging_2184/knärot/A 55441-2020.png", "A 55441-2020")</f>
        <v/>
      </c>
      <c r="V10">
        <f>HYPERLINK("https://klasma.github.io/Logging_2184/klagomål/A 55441-2020.docx", "A 55441-2020")</f>
        <v/>
      </c>
      <c r="W10">
        <f>HYPERLINK("https://klasma.github.io/Logging_2184/klagomålsmail/A 55441-2020.docx", "A 55441-2020")</f>
        <v/>
      </c>
      <c r="X10">
        <f>HYPERLINK("https://klasma.github.io/Logging_2184/tillsyn/A 55441-2020.docx", "A 55441-2020")</f>
        <v/>
      </c>
      <c r="Y10">
        <f>HYPERLINK("https://klasma.github.io/Logging_2184/tillsynsmail/A 55441-2020.docx", "A 55441-2020")</f>
        <v/>
      </c>
    </row>
    <row r="11" ht="15" customHeight="1">
      <c r="A11" t="inlineStr">
        <is>
          <t>A 17261-2020</t>
        </is>
      </c>
      <c r="B11" s="1" t="n">
        <v>43922</v>
      </c>
      <c r="C11" s="1" t="n">
        <v>45209</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17261-2020.xlsx", "A 17261-2020")</f>
        <v/>
      </c>
      <c r="T11">
        <f>HYPERLINK("https://klasma.github.io/Logging_2161/kartor/A 17261-2020.png", "A 17261-2020")</f>
        <v/>
      </c>
      <c r="U11">
        <f>HYPERLINK("https://klasma.github.io/Logging_2161/knärot/A 17261-2020.png", "A 17261-2020")</f>
        <v/>
      </c>
      <c r="V11">
        <f>HYPERLINK("https://klasma.github.io/Logging_2161/klagomål/A 17261-2020.docx", "A 17261-2020")</f>
        <v/>
      </c>
      <c r="W11">
        <f>HYPERLINK("https://klasma.github.io/Logging_2161/klagomålsmail/A 17261-2020.docx", "A 17261-2020")</f>
        <v/>
      </c>
      <c r="X11">
        <f>HYPERLINK("https://klasma.github.io/Logging_2161/tillsyn/A 17261-2020.docx", "A 17261-2020")</f>
        <v/>
      </c>
      <c r="Y11">
        <f>HYPERLINK("https://klasma.github.io/Logging_2161/tillsynsmail/A 17261-2020.docx", "A 17261-2020")</f>
        <v/>
      </c>
    </row>
    <row r="12" ht="15" customHeight="1">
      <c r="A12" t="inlineStr">
        <is>
          <t>A 34891-2020</t>
        </is>
      </c>
      <c r="B12" s="1" t="n">
        <v>44036</v>
      </c>
      <c r="C12" s="1" t="n">
        <v>45209</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34891-2020.xlsx", "A 34891-2020")</f>
        <v/>
      </c>
      <c r="T12">
        <f>HYPERLINK("https://klasma.github.io/Logging_2132/kartor/A 34891-2020.png", "A 34891-2020")</f>
        <v/>
      </c>
      <c r="V12">
        <f>HYPERLINK("https://klasma.github.io/Logging_2132/klagomål/A 34891-2020.docx", "A 34891-2020")</f>
        <v/>
      </c>
      <c r="W12">
        <f>HYPERLINK("https://klasma.github.io/Logging_2132/klagomålsmail/A 34891-2020.docx", "A 34891-2020")</f>
        <v/>
      </c>
      <c r="X12">
        <f>HYPERLINK("https://klasma.github.io/Logging_2132/tillsyn/A 34891-2020.docx", "A 34891-2020")</f>
        <v/>
      </c>
      <c r="Y12">
        <f>HYPERLINK("https://klasma.github.io/Logging_2132/tillsynsmail/A 34891-2020.docx", "A 34891-2020")</f>
        <v/>
      </c>
    </row>
    <row r="13" ht="15" customHeight="1">
      <c r="A13" t="inlineStr">
        <is>
          <t>A 48020-2021</t>
        </is>
      </c>
      <c r="B13" s="1" t="n">
        <v>44449</v>
      </c>
      <c r="C13" s="1" t="n">
        <v>45209</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48020-2021.xlsx", "A 48020-2021")</f>
        <v/>
      </c>
      <c r="T13">
        <f>HYPERLINK("https://klasma.github.io/Logging_2161/kartor/A 48020-2021.png", "A 48020-2021")</f>
        <v/>
      </c>
      <c r="U13">
        <f>HYPERLINK("https://klasma.github.io/Logging_2161/knärot/A 48020-2021.png", "A 48020-2021")</f>
        <v/>
      </c>
      <c r="V13">
        <f>HYPERLINK("https://klasma.github.io/Logging_2161/klagomål/A 48020-2021.docx", "A 48020-2021")</f>
        <v/>
      </c>
      <c r="W13">
        <f>HYPERLINK("https://klasma.github.io/Logging_2161/klagomålsmail/A 48020-2021.docx", "A 48020-2021")</f>
        <v/>
      </c>
      <c r="X13">
        <f>HYPERLINK("https://klasma.github.io/Logging_2161/tillsyn/A 48020-2021.docx", "A 48020-2021")</f>
        <v/>
      </c>
      <c r="Y13">
        <f>HYPERLINK("https://klasma.github.io/Logging_2161/tillsynsmail/A 48020-2021.docx", "A 48020-2021")</f>
        <v/>
      </c>
    </row>
    <row r="14" ht="15" customHeight="1">
      <c r="A14" t="inlineStr">
        <is>
          <t>A 57608-2022</t>
        </is>
      </c>
      <c r="B14" s="1" t="n">
        <v>44897</v>
      </c>
      <c r="C14" s="1" t="n">
        <v>45209</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57608-2022.xlsx", "A 57608-2022")</f>
        <v/>
      </c>
      <c r="T14">
        <f>HYPERLINK("https://klasma.github.io/Logging_2184/kartor/A 57608-2022.png", "A 57608-2022")</f>
        <v/>
      </c>
      <c r="U14">
        <f>HYPERLINK("https://klasma.github.io/Logging_2184/knärot/A 57608-2022.png", "A 57608-2022")</f>
        <v/>
      </c>
      <c r="V14">
        <f>HYPERLINK("https://klasma.github.io/Logging_2184/klagomål/A 57608-2022.docx", "A 57608-2022")</f>
        <v/>
      </c>
      <c r="W14">
        <f>HYPERLINK("https://klasma.github.io/Logging_2184/klagomålsmail/A 57608-2022.docx", "A 57608-2022")</f>
        <v/>
      </c>
      <c r="X14">
        <f>HYPERLINK("https://klasma.github.io/Logging_2184/tillsyn/A 57608-2022.docx", "A 57608-2022")</f>
        <v/>
      </c>
      <c r="Y14">
        <f>HYPERLINK("https://klasma.github.io/Logging_2184/tillsynsmail/A 57608-2022.docx", "A 57608-2022")</f>
        <v/>
      </c>
    </row>
    <row r="15" ht="15" customHeight="1">
      <c r="A15" t="inlineStr">
        <is>
          <t>A 13746-2023</t>
        </is>
      </c>
      <c r="B15" s="1" t="n">
        <v>45007</v>
      </c>
      <c r="C15" s="1" t="n">
        <v>45209</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13746-2023.xlsx", "A 13746-2023")</f>
        <v/>
      </c>
      <c r="T15">
        <f>HYPERLINK("https://klasma.github.io/Logging_2104/kartor/A 13746-2023.png", "A 13746-2023")</f>
        <v/>
      </c>
      <c r="U15">
        <f>HYPERLINK("https://klasma.github.io/Logging_2104/knärot/A 13746-2023.png", "A 13746-2023")</f>
        <v/>
      </c>
      <c r="V15">
        <f>HYPERLINK("https://klasma.github.io/Logging_2104/klagomål/A 13746-2023.docx", "A 13746-2023")</f>
        <v/>
      </c>
      <c r="W15">
        <f>HYPERLINK("https://klasma.github.io/Logging_2104/klagomålsmail/A 13746-2023.docx", "A 13746-2023")</f>
        <v/>
      </c>
      <c r="X15">
        <f>HYPERLINK("https://klasma.github.io/Logging_2104/tillsyn/A 13746-2023.docx", "A 13746-2023")</f>
        <v/>
      </c>
      <c r="Y15">
        <f>HYPERLINK("https://klasma.github.io/Logging_2104/tillsynsmail/A 13746-2023.docx", "A 13746-2023")</f>
        <v/>
      </c>
    </row>
    <row r="16" ht="15" customHeight="1">
      <c r="A16" t="inlineStr">
        <is>
          <t>A 42756-2018</t>
        </is>
      </c>
      <c r="B16" s="1" t="n">
        <v>43354</v>
      </c>
      <c r="C16" s="1" t="n">
        <v>45209</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42756-2018.xlsx", "A 42756-2018")</f>
        <v/>
      </c>
      <c r="T16">
        <f>HYPERLINK("https://klasma.github.io/Logging_2161/kartor/A 42756-2018.png", "A 42756-2018")</f>
        <v/>
      </c>
      <c r="V16">
        <f>HYPERLINK("https://klasma.github.io/Logging_2161/klagomål/A 42756-2018.docx", "A 42756-2018")</f>
        <v/>
      </c>
      <c r="W16">
        <f>HYPERLINK("https://klasma.github.io/Logging_2161/klagomålsmail/A 42756-2018.docx", "A 42756-2018")</f>
        <v/>
      </c>
      <c r="X16">
        <f>HYPERLINK("https://klasma.github.io/Logging_2161/tillsyn/A 42756-2018.docx", "A 42756-2018")</f>
        <v/>
      </c>
      <c r="Y16">
        <f>HYPERLINK("https://klasma.github.io/Logging_2161/tillsynsmail/A 42756-2018.docx", "A 42756-2018")</f>
        <v/>
      </c>
    </row>
    <row r="17" ht="15" customHeight="1">
      <c r="A17" t="inlineStr">
        <is>
          <t>A 64616-2019</t>
        </is>
      </c>
      <c r="B17" s="1" t="n">
        <v>43798</v>
      </c>
      <c r="C17" s="1" t="n">
        <v>45209</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64616-2019.xlsx", "A 64616-2019")</f>
        <v/>
      </c>
      <c r="T17">
        <f>HYPERLINK("https://klasma.github.io/Logging_2161/kartor/A 64616-2019.png", "A 64616-2019")</f>
        <v/>
      </c>
      <c r="V17">
        <f>HYPERLINK("https://klasma.github.io/Logging_2161/klagomål/A 64616-2019.docx", "A 64616-2019")</f>
        <v/>
      </c>
      <c r="W17">
        <f>HYPERLINK("https://klasma.github.io/Logging_2161/klagomålsmail/A 64616-2019.docx", "A 64616-2019")</f>
        <v/>
      </c>
      <c r="X17">
        <f>HYPERLINK("https://klasma.github.io/Logging_2161/tillsyn/A 64616-2019.docx", "A 64616-2019")</f>
        <v/>
      </c>
      <c r="Y17">
        <f>HYPERLINK("https://klasma.github.io/Logging_2161/tillsynsmail/A 64616-2019.docx", "A 64616-2019")</f>
        <v/>
      </c>
    </row>
    <row r="18" ht="15" customHeight="1">
      <c r="A18" t="inlineStr">
        <is>
          <t>A 50174-2020</t>
        </is>
      </c>
      <c r="B18" s="1" t="n">
        <v>44109</v>
      </c>
      <c r="C18" s="1" t="n">
        <v>45209</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50174-2020.xlsx", "A 50174-2020")</f>
        <v/>
      </c>
      <c r="T18">
        <f>HYPERLINK("https://klasma.github.io/Logging_2183/kartor/A 50174-2020.png", "A 50174-2020")</f>
        <v/>
      </c>
      <c r="U18">
        <f>HYPERLINK("https://klasma.github.io/Logging_2183/knärot/A 50174-2020.png", "A 50174-2020")</f>
        <v/>
      </c>
      <c r="V18">
        <f>HYPERLINK("https://klasma.github.io/Logging_2183/klagomål/A 50174-2020.docx", "A 50174-2020")</f>
        <v/>
      </c>
      <c r="W18">
        <f>HYPERLINK("https://klasma.github.io/Logging_2183/klagomålsmail/A 50174-2020.docx", "A 50174-2020")</f>
        <v/>
      </c>
      <c r="X18">
        <f>HYPERLINK("https://klasma.github.io/Logging_2183/tillsyn/A 50174-2020.docx", "A 50174-2020")</f>
        <v/>
      </c>
      <c r="Y18">
        <f>HYPERLINK("https://klasma.github.io/Logging_2183/tillsynsmail/A 50174-2020.docx", "A 50174-2020")</f>
        <v/>
      </c>
    </row>
    <row r="19" ht="15" customHeight="1">
      <c r="A19" t="inlineStr">
        <is>
          <t>A 60212-2022</t>
        </is>
      </c>
      <c r="B19" s="1" t="n">
        <v>44910</v>
      </c>
      <c r="C19" s="1" t="n">
        <v>45209</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60212-2022.xlsx", "A 60212-2022")</f>
        <v/>
      </c>
      <c r="T19">
        <f>HYPERLINK("https://klasma.github.io/Logging_2184/kartor/A 60212-2022.png", "A 60212-2022")</f>
        <v/>
      </c>
      <c r="V19">
        <f>HYPERLINK("https://klasma.github.io/Logging_2184/klagomål/A 60212-2022.docx", "A 60212-2022")</f>
        <v/>
      </c>
      <c r="W19">
        <f>HYPERLINK("https://klasma.github.io/Logging_2184/klagomålsmail/A 60212-2022.docx", "A 60212-2022")</f>
        <v/>
      </c>
      <c r="X19">
        <f>HYPERLINK("https://klasma.github.io/Logging_2184/tillsyn/A 60212-2022.docx", "A 60212-2022")</f>
        <v/>
      </c>
      <c r="Y19">
        <f>HYPERLINK("https://klasma.github.io/Logging_2184/tillsynsmail/A 60212-2022.docx", "A 60212-2022")</f>
        <v/>
      </c>
    </row>
    <row r="20" ht="15" customHeight="1">
      <c r="A20" t="inlineStr">
        <is>
          <t>A 35250-2019</t>
        </is>
      </c>
      <c r="B20" s="1" t="n">
        <v>43650</v>
      </c>
      <c r="C20" s="1" t="n">
        <v>45209</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35250-2019.xlsx", "A 35250-2019")</f>
        <v/>
      </c>
      <c r="T20">
        <f>HYPERLINK("https://klasma.github.io/Logging_2184/kartor/A 35250-2019.png", "A 35250-2019")</f>
        <v/>
      </c>
      <c r="V20">
        <f>HYPERLINK("https://klasma.github.io/Logging_2184/klagomål/A 35250-2019.docx", "A 35250-2019")</f>
        <v/>
      </c>
      <c r="W20">
        <f>HYPERLINK("https://klasma.github.io/Logging_2184/klagomålsmail/A 35250-2019.docx", "A 35250-2019")</f>
        <v/>
      </c>
      <c r="X20">
        <f>HYPERLINK("https://klasma.github.io/Logging_2184/tillsyn/A 35250-2019.docx", "A 35250-2019")</f>
        <v/>
      </c>
      <c r="Y20">
        <f>HYPERLINK("https://klasma.github.io/Logging_2184/tillsynsmail/A 35250-2019.docx", "A 35250-2019")</f>
        <v/>
      </c>
    </row>
    <row r="21" ht="15" customHeight="1">
      <c r="A21" t="inlineStr">
        <is>
          <t>A 7565-2020</t>
        </is>
      </c>
      <c r="B21" s="1" t="n">
        <v>43872</v>
      </c>
      <c r="C21" s="1" t="n">
        <v>45209</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7565-2020.xlsx", "A 7565-2020")</f>
        <v/>
      </c>
      <c r="T21">
        <f>HYPERLINK("https://klasma.github.io/Logging_2161/kartor/A 7565-2020.png", "A 7565-2020")</f>
        <v/>
      </c>
      <c r="V21">
        <f>HYPERLINK("https://klasma.github.io/Logging_2161/klagomål/A 7565-2020.docx", "A 7565-2020")</f>
        <v/>
      </c>
      <c r="W21">
        <f>HYPERLINK("https://klasma.github.io/Logging_2161/klagomålsmail/A 7565-2020.docx", "A 7565-2020")</f>
        <v/>
      </c>
      <c r="X21">
        <f>HYPERLINK("https://klasma.github.io/Logging_2161/tillsyn/A 7565-2020.docx", "A 7565-2020")</f>
        <v/>
      </c>
      <c r="Y21">
        <f>HYPERLINK("https://klasma.github.io/Logging_2161/tillsynsmail/A 7565-2020.docx", "A 7565-2020")</f>
        <v/>
      </c>
    </row>
    <row r="22" ht="15" customHeight="1">
      <c r="A22" t="inlineStr">
        <is>
          <t>A 18337-2020</t>
        </is>
      </c>
      <c r="B22" s="1" t="n">
        <v>43928</v>
      </c>
      <c r="C22" s="1" t="n">
        <v>45209</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18337-2020.xlsx", "A 18337-2020")</f>
        <v/>
      </c>
      <c r="T22">
        <f>HYPERLINK("https://klasma.github.io/Logging_2180/kartor/A 18337-2020.png", "A 18337-2020")</f>
        <v/>
      </c>
      <c r="U22">
        <f>HYPERLINK("https://klasma.github.io/Logging_2180/knärot/A 18337-2020.png", "A 18337-2020")</f>
        <v/>
      </c>
      <c r="V22">
        <f>HYPERLINK("https://klasma.github.io/Logging_2180/klagomål/A 18337-2020.docx", "A 18337-2020")</f>
        <v/>
      </c>
      <c r="W22">
        <f>HYPERLINK("https://klasma.github.io/Logging_2180/klagomålsmail/A 18337-2020.docx", "A 18337-2020")</f>
        <v/>
      </c>
      <c r="X22">
        <f>HYPERLINK("https://klasma.github.io/Logging_2180/tillsyn/A 18337-2020.docx", "A 18337-2020")</f>
        <v/>
      </c>
      <c r="Y22">
        <f>HYPERLINK("https://klasma.github.io/Logging_2180/tillsynsmail/A 18337-2020.docx", "A 18337-2020")</f>
        <v/>
      </c>
    </row>
    <row r="23" ht="15" customHeight="1">
      <c r="A23" t="inlineStr">
        <is>
          <t>A 96-2021</t>
        </is>
      </c>
      <c r="B23" s="1" t="n">
        <v>44200</v>
      </c>
      <c r="C23" s="1" t="n">
        <v>45209</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96-2021.xlsx", "A 96-2021")</f>
        <v/>
      </c>
      <c r="T23">
        <f>HYPERLINK("https://klasma.github.io/Logging_2184/kartor/A 96-2021.png", "A 96-2021")</f>
        <v/>
      </c>
      <c r="V23">
        <f>HYPERLINK("https://klasma.github.io/Logging_2184/klagomål/A 96-2021.docx", "A 96-2021")</f>
        <v/>
      </c>
      <c r="W23">
        <f>HYPERLINK("https://klasma.github.io/Logging_2184/klagomålsmail/A 96-2021.docx", "A 96-2021")</f>
        <v/>
      </c>
      <c r="X23">
        <f>HYPERLINK("https://klasma.github.io/Logging_2184/tillsyn/A 96-2021.docx", "A 96-2021")</f>
        <v/>
      </c>
      <c r="Y23">
        <f>HYPERLINK("https://klasma.github.io/Logging_2184/tillsynsmail/A 96-2021.docx", "A 96-2021")</f>
        <v/>
      </c>
    </row>
    <row r="24" ht="15" customHeight="1">
      <c r="A24" t="inlineStr">
        <is>
          <t>A 65026-2021</t>
        </is>
      </c>
      <c r="B24" s="1" t="n">
        <v>44512</v>
      </c>
      <c r="C24" s="1" t="n">
        <v>45209</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65026-2021.xlsx", "A 65026-2021")</f>
        <v/>
      </c>
      <c r="T24">
        <f>HYPERLINK("https://klasma.github.io/Logging_2104/kartor/A 65026-2021.png", "A 65026-2021")</f>
        <v/>
      </c>
      <c r="U24">
        <f>HYPERLINK("https://klasma.github.io/Logging_2104/knärot/A 65026-2021.png", "A 65026-2021")</f>
        <v/>
      </c>
      <c r="V24">
        <f>HYPERLINK("https://klasma.github.io/Logging_2104/klagomål/A 65026-2021.docx", "A 65026-2021")</f>
        <v/>
      </c>
      <c r="W24">
        <f>HYPERLINK("https://klasma.github.io/Logging_2104/klagomålsmail/A 65026-2021.docx", "A 65026-2021")</f>
        <v/>
      </c>
      <c r="X24">
        <f>HYPERLINK("https://klasma.github.io/Logging_2104/tillsyn/A 65026-2021.docx", "A 65026-2021")</f>
        <v/>
      </c>
      <c r="Y24">
        <f>HYPERLINK("https://klasma.github.io/Logging_2104/tillsynsmail/A 65026-2021.docx", "A 65026-2021")</f>
        <v/>
      </c>
    </row>
    <row r="25" ht="15" customHeight="1">
      <c r="A25" t="inlineStr">
        <is>
          <t>A 23984-2022</t>
        </is>
      </c>
      <c r="B25" s="1" t="n">
        <v>44722</v>
      </c>
      <c r="C25" s="1" t="n">
        <v>45209</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23984-2022.xlsx", "A 23984-2022")</f>
        <v/>
      </c>
      <c r="T25">
        <f>HYPERLINK("https://klasma.github.io/Logging_2161/kartor/A 23984-2022.png", "A 23984-2022")</f>
        <v/>
      </c>
      <c r="U25">
        <f>HYPERLINK("https://klasma.github.io/Logging_2161/knärot/A 23984-2022.png", "A 23984-2022")</f>
        <v/>
      </c>
      <c r="V25">
        <f>HYPERLINK("https://klasma.github.io/Logging_2161/klagomål/A 23984-2022.docx", "A 23984-2022")</f>
        <v/>
      </c>
      <c r="W25">
        <f>HYPERLINK("https://klasma.github.io/Logging_2161/klagomålsmail/A 23984-2022.docx", "A 23984-2022")</f>
        <v/>
      </c>
      <c r="X25">
        <f>HYPERLINK("https://klasma.github.io/Logging_2161/tillsyn/A 23984-2022.docx", "A 23984-2022")</f>
        <v/>
      </c>
      <c r="Y25">
        <f>HYPERLINK("https://klasma.github.io/Logging_2161/tillsynsmail/A 23984-2022.docx", "A 23984-2022")</f>
        <v/>
      </c>
    </row>
    <row r="26" ht="15" customHeight="1">
      <c r="A26" t="inlineStr">
        <is>
          <t>A 27800-2022</t>
        </is>
      </c>
      <c r="B26" s="1" t="n">
        <v>44743</v>
      </c>
      <c r="C26" s="1" t="n">
        <v>45209</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27800-2022.xlsx", "A 27800-2022")</f>
        <v/>
      </c>
      <c r="T26">
        <f>HYPERLINK("https://klasma.github.io/Logging_2161/kartor/A 27800-2022.png", "A 27800-2022")</f>
        <v/>
      </c>
      <c r="V26">
        <f>HYPERLINK("https://klasma.github.io/Logging_2161/klagomål/A 27800-2022.docx", "A 27800-2022")</f>
        <v/>
      </c>
      <c r="W26">
        <f>HYPERLINK("https://klasma.github.io/Logging_2161/klagomålsmail/A 27800-2022.docx", "A 27800-2022")</f>
        <v/>
      </c>
      <c r="X26">
        <f>HYPERLINK("https://klasma.github.io/Logging_2161/tillsyn/A 27800-2022.docx", "A 27800-2022")</f>
        <v/>
      </c>
      <c r="Y26">
        <f>HYPERLINK("https://klasma.github.io/Logging_2161/tillsynsmail/A 27800-2022.docx", "A 27800-2022")</f>
        <v/>
      </c>
    </row>
    <row r="27" ht="15" customHeight="1">
      <c r="A27" t="inlineStr">
        <is>
          <t>A 39905-2022</t>
        </is>
      </c>
      <c r="B27" s="1" t="n">
        <v>44819</v>
      </c>
      <c r="C27" s="1" t="n">
        <v>45209</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39905-2022.xlsx", "A 39905-2022")</f>
        <v/>
      </c>
      <c r="T27">
        <f>HYPERLINK("https://klasma.github.io/Logging_2121/kartor/A 39905-2022.png", "A 39905-2022")</f>
        <v/>
      </c>
      <c r="V27">
        <f>HYPERLINK("https://klasma.github.io/Logging_2121/klagomål/A 39905-2022.docx", "A 39905-2022")</f>
        <v/>
      </c>
      <c r="W27">
        <f>HYPERLINK("https://klasma.github.io/Logging_2121/klagomålsmail/A 39905-2022.docx", "A 39905-2022")</f>
        <v/>
      </c>
      <c r="X27">
        <f>HYPERLINK("https://klasma.github.io/Logging_2121/tillsyn/A 39905-2022.docx", "A 39905-2022")</f>
        <v/>
      </c>
      <c r="Y27">
        <f>HYPERLINK("https://klasma.github.io/Logging_2121/tillsynsmail/A 39905-2022.docx", "A 39905-2022")</f>
        <v/>
      </c>
    </row>
    <row r="28" ht="15" customHeight="1">
      <c r="A28" t="inlineStr">
        <is>
          <t>A 54447-2019</t>
        </is>
      </c>
      <c r="B28" s="1" t="n">
        <v>43747</v>
      </c>
      <c r="C28" s="1" t="n">
        <v>45209</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54447-2019.xlsx", "A 54447-2019")</f>
        <v/>
      </c>
      <c r="T28">
        <f>HYPERLINK("https://klasma.github.io/Logging_2184/kartor/A 54447-2019.png", "A 54447-2019")</f>
        <v/>
      </c>
      <c r="V28">
        <f>HYPERLINK("https://klasma.github.io/Logging_2184/klagomål/A 54447-2019.docx", "A 54447-2019")</f>
        <v/>
      </c>
      <c r="W28">
        <f>HYPERLINK("https://klasma.github.io/Logging_2184/klagomålsmail/A 54447-2019.docx", "A 54447-2019")</f>
        <v/>
      </c>
      <c r="X28">
        <f>HYPERLINK("https://klasma.github.io/Logging_2184/tillsyn/A 54447-2019.docx", "A 54447-2019")</f>
        <v/>
      </c>
      <c r="Y28">
        <f>HYPERLINK("https://klasma.github.io/Logging_2184/tillsynsmail/A 54447-2019.docx", "A 54447-2019")</f>
        <v/>
      </c>
    </row>
    <row r="29" ht="15" customHeight="1">
      <c r="A29" t="inlineStr">
        <is>
          <t>A 46692-2020</t>
        </is>
      </c>
      <c r="B29" s="1" t="n">
        <v>44095</v>
      </c>
      <c r="C29" s="1" t="n">
        <v>45209</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46692-2020.xlsx", "A 46692-2020")</f>
        <v/>
      </c>
      <c r="T29">
        <f>HYPERLINK("https://klasma.github.io/Logging_2183/kartor/A 46692-2020.png", "A 46692-2020")</f>
        <v/>
      </c>
      <c r="U29">
        <f>HYPERLINK("https://klasma.github.io/Logging_2183/knärot/A 46692-2020.png", "A 46692-2020")</f>
        <v/>
      </c>
      <c r="V29">
        <f>HYPERLINK("https://klasma.github.io/Logging_2183/klagomål/A 46692-2020.docx", "A 46692-2020")</f>
        <v/>
      </c>
      <c r="W29">
        <f>HYPERLINK("https://klasma.github.io/Logging_2183/klagomålsmail/A 46692-2020.docx", "A 46692-2020")</f>
        <v/>
      </c>
      <c r="X29">
        <f>HYPERLINK("https://klasma.github.io/Logging_2183/tillsyn/A 46692-2020.docx", "A 46692-2020")</f>
        <v/>
      </c>
      <c r="Y29">
        <f>HYPERLINK("https://klasma.github.io/Logging_2183/tillsynsmail/A 46692-2020.docx", "A 46692-2020")</f>
        <v/>
      </c>
    </row>
    <row r="30" ht="15" customHeight="1">
      <c r="A30" t="inlineStr">
        <is>
          <t>A 69572-2020</t>
        </is>
      </c>
      <c r="B30" s="1" t="n">
        <v>44194</v>
      </c>
      <c r="C30" s="1" t="n">
        <v>45209</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69572-2020.xlsx", "A 69572-2020")</f>
        <v/>
      </c>
      <c r="T30">
        <f>HYPERLINK("https://klasma.github.io/Logging_2161/kartor/A 69572-2020.png", "A 69572-2020")</f>
        <v/>
      </c>
      <c r="U30">
        <f>HYPERLINK("https://klasma.github.io/Logging_2161/knärot/A 69572-2020.png", "A 69572-2020")</f>
        <v/>
      </c>
      <c r="V30">
        <f>HYPERLINK("https://klasma.github.io/Logging_2161/klagomål/A 69572-2020.docx", "A 69572-2020")</f>
        <v/>
      </c>
      <c r="W30">
        <f>HYPERLINK("https://klasma.github.io/Logging_2161/klagomålsmail/A 69572-2020.docx", "A 69572-2020")</f>
        <v/>
      </c>
      <c r="X30">
        <f>HYPERLINK("https://klasma.github.io/Logging_2161/tillsyn/A 69572-2020.docx", "A 69572-2020")</f>
        <v/>
      </c>
      <c r="Y30">
        <f>HYPERLINK("https://klasma.github.io/Logging_2161/tillsynsmail/A 69572-2020.docx", "A 69572-2020")</f>
        <v/>
      </c>
    </row>
    <row r="31" ht="15" customHeight="1">
      <c r="A31" t="inlineStr">
        <is>
          <t>A 414-2023</t>
        </is>
      </c>
      <c r="B31" s="1" t="n">
        <v>44929</v>
      </c>
      <c r="C31" s="1" t="n">
        <v>45209</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414-2023.xlsx", "A 414-2023")</f>
        <v/>
      </c>
      <c r="T31">
        <f>HYPERLINK("https://klasma.github.io/Logging_2184/kartor/A 414-2023.png", "A 414-2023")</f>
        <v/>
      </c>
      <c r="V31">
        <f>HYPERLINK("https://klasma.github.io/Logging_2184/klagomål/A 414-2023.docx", "A 414-2023")</f>
        <v/>
      </c>
      <c r="W31">
        <f>HYPERLINK("https://klasma.github.io/Logging_2184/klagomålsmail/A 414-2023.docx", "A 414-2023")</f>
        <v/>
      </c>
      <c r="X31">
        <f>HYPERLINK("https://klasma.github.io/Logging_2184/tillsyn/A 414-2023.docx", "A 414-2023")</f>
        <v/>
      </c>
      <c r="Y31">
        <f>HYPERLINK("https://klasma.github.io/Logging_2184/tillsynsmail/A 414-2023.docx", "A 414-2023")</f>
        <v/>
      </c>
    </row>
    <row r="32" ht="15" customHeight="1">
      <c r="A32" t="inlineStr">
        <is>
          <t>A 27315-2023</t>
        </is>
      </c>
      <c r="B32" s="1" t="n">
        <v>45096</v>
      </c>
      <c r="C32" s="1" t="n">
        <v>45209</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27315-2023.xlsx", "A 27315-2023")</f>
        <v/>
      </c>
      <c r="T32">
        <f>HYPERLINK("https://klasma.github.io/Logging_2161/kartor/A 27315-2023.png", "A 27315-2023")</f>
        <v/>
      </c>
      <c r="V32">
        <f>HYPERLINK("https://klasma.github.io/Logging_2161/klagomål/A 27315-2023.docx", "A 27315-2023")</f>
        <v/>
      </c>
      <c r="W32">
        <f>HYPERLINK("https://klasma.github.io/Logging_2161/klagomålsmail/A 27315-2023.docx", "A 27315-2023")</f>
        <v/>
      </c>
      <c r="X32">
        <f>HYPERLINK("https://klasma.github.io/Logging_2161/tillsyn/A 27315-2023.docx", "A 27315-2023")</f>
        <v/>
      </c>
      <c r="Y32">
        <f>HYPERLINK("https://klasma.github.io/Logging_2161/tillsynsmail/A 27315-2023.docx", "A 27315-2023")</f>
        <v/>
      </c>
    </row>
    <row r="33" ht="15" customHeight="1">
      <c r="A33" t="inlineStr">
        <is>
          <t>A 40223-2018</t>
        </is>
      </c>
      <c r="B33" s="1" t="n">
        <v>43343</v>
      </c>
      <c r="C33" s="1" t="n">
        <v>45209</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40223-2018.xlsx", "A 40223-2018")</f>
        <v/>
      </c>
      <c r="T33">
        <f>HYPERLINK("https://klasma.github.io/Logging_2161/kartor/A 40223-2018.png", "A 40223-2018")</f>
        <v/>
      </c>
      <c r="V33">
        <f>HYPERLINK("https://klasma.github.io/Logging_2161/klagomål/A 40223-2018.docx", "A 40223-2018")</f>
        <v/>
      </c>
      <c r="W33">
        <f>HYPERLINK("https://klasma.github.io/Logging_2161/klagomålsmail/A 40223-2018.docx", "A 40223-2018")</f>
        <v/>
      </c>
      <c r="X33">
        <f>HYPERLINK("https://klasma.github.io/Logging_2161/tillsyn/A 40223-2018.docx", "A 40223-2018")</f>
        <v/>
      </c>
      <c r="Y33">
        <f>HYPERLINK("https://klasma.github.io/Logging_2161/tillsynsmail/A 40223-2018.docx", "A 40223-2018")</f>
        <v/>
      </c>
    </row>
    <row r="34" ht="15" customHeight="1">
      <c r="A34" t="inlineStr">
        <is>
          <t>A 19211-2020</t>
        </is>
      </c>
      <c r="B34" s="1" t="n">
        <v>43937</v>
      </c>
      <c r="C34" s="1" t="n">
        <v>45209</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19211-2020.xlsx", "A 19211-2020")</f>
        <v/>
      </c>
      <c r="T34">
        <f>HYPERLINK("https://klasma.github.io/Logging_2184/kartor/A 19211-2020.png", "A 19211-2020")</f>
        <v/>
      </c>
      <c r="V34">
        <f>HYPERLINK("https://klasma.github.io/Logging_2184/klagomål/A 19211-2020.docx", "A 19211-2020")</f>
        <v/>
      </c>
      <c r="W34">
        <f>HYPERLINK("https://klasma.github.io/Logging_2184/klagomålsmail/A 19211-2020.docx", "A 19211-2020")</f>
        <v/>
      </c>
      <c r="X34">
        <f>HYPERLINK("https://klasma.github.io/Logging_2184/tillsyn/A 19211-2020.docx", "A 19211-2020")</f>
        <v/>
      </c>
      <c r="Y34">
        <f>HYPERLINK("https://klasma.github.io/Logging_2184/tillsynsmail/A 19211-2020.docx", "A 19211-2020")</f>
        <v/>
      </c>
    </row>
    <row r="35" ht="15" customHeight="1">
      <c r="A35" t="inlineStr">
        <is>
          <t>A 29705-2021</t>
        </is>
      </c>
      <c r="B35" s="1" t="n">
        <v>44362</v>
      </c>
      <c r="C35" s="1" t="n">
        <v>45209</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29705-2021.xlsx", "A 29705-2021")</f>
        <v/>
      </c>
      <c r="T35">
        <f>HYPERLINK("https://klasma.github.io/Logging_2184/kartor/A 29705-2021.png", "A 29705-2021")</f>
        <v/>
      </c>
      <c r="V35">
        <f>HYPERLINK("https://klasma.github.io/Logging_2184/klagomål/A 29705-2021.docx", "A 29705-2021")</f>
        <v/>
      </c>
      <c r="W35">
        <f>HYPERLINK("https://klasma.github.io/Logging_2184/klagomålsmail/A 29705-2021.docx", "A 29705-2021")</f>
        <v/>
      </c>
      <c r="X35">
        <f>HYPERLINK("https://klasma.github.io/Logging_2184/tillsyn/A 29705-2021.docx", "A 29705-2021")</f>
        <v/>
      </c>
      <c r="Y35">
        <f>HYPERLINK("https://klasma.github.io/Logging_2184/tillsynsmail/A 29705-2021.docx", "A 29705-2021")</f>
        <v/>
      </c>
    </row>
    <row r="36" ht="15" customHeight="1">
      <c r="A36" t="inlineStr">
        <is>
          <t>A 49148-2021</t>
        </is>
      </c>
      <c r="B36" s="1" t="n">
        <v>44453</v>
      </c>
      <c r="C36" s="1" t="n">
        <v>45209</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49148-2021.xlsx", "A 49148-2021")</f>
        <v/>
      </c>
      <c r="T36">
        <f>HYPERLINK("https://klasma.github.io/Logging_2184/kartor/A 49148-2021.png", "A 49148-2021")</f>
        <v/>
      </c>
      <c r="V36">
        <f>HYPERLINK("https://klasma.github.io/Logging_2184/klagomål/A 49148-2021.docx", "A 49148-2021")</f>
        <v/>
      </c>
      <c r="W36">
        <f>HYPERLINK("https://klasma.github.io/Logging_2184/klagomålsmail/A 49148-2021.docx", "A 49148-2021")</f>
        <v/>
      </c>
      <c r="X36">
        <f>HYPERLINK("https://klasma.github.io/Logging_2184/tillsyn/A 49148-2021.docx", "A 49148-2021")</f>
        <v/>
      </c>
      <c r="Y36">
        <f>HYPERLINK("https://klasma.github.io/Logging_2184/tillsynsmail/A 49148-2021.docx", "A 49148-2021")</f>
        <v/>
      </c>
    </row>
    <row r="37" ht="15" customHeight="1">
      <c r="A37" t="inlineStr">
        <is>
          <t>A 8671-2022</t>
        </is>
      </c>
      <c r="B37" s="1" t="n">
        <v>44613</v>
      </c>
      <c r="C37" s="1" t="n">
        <v>45209</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8671-2022.xlsx", "A 8671-2022")</f>
        <v/>
      </c>
      <c r="T37">
        <f>HYPERLINK("https://klasma.github.io/Logging_2184/kartor/A 8671-2022.png", "A 8671-2022")</f>
        <v/>
      </c>
      <c r="V37">
        <f>HYPERLINK("https://klasma.github.io/Logging_2184/klagomål/A 8671-2022.docx", "A 8671-2022")</f>
        <v/>
      </c>
      <c r="W37">
        <f>HYPERLINK("https://klasma.github.io/Logging_2184/klagomålsmail/A 8671-2022.docx", "A 8671-2022")</f>
        <v/>
      </c>
      <c r="X37">
        <f>HYPERLINK("https://klasma.github.io/Logging_2184/tillsyn/A 8671-2022.docx", "A 8671-2022")</f>
        <v/>
      </c>
      <c r="Y37">
        <f>HYPERLINK("https://klasma.github.io/Logging_2184/tillsynsmail/A 8671-2022.docx", "A 8671-2022")</f>
        <v/>
      </c>
    </row>
    <row r="38" ht="15" customHeight="1">
      <c r="A38" t="inlineStr">
        <is>
          <t>A 31224-2022</t>
        </is>
      </c>
      <c r="B38" s="1" t="n">
        <v>44771</v>
      </c>
      <c r="C38" s="1" t="n">
        <v>45209</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31224-2022.xlsx", "A 31224-2022")</f>
        <v/>
      </c>
      <c r="T38">
        <f>HYPERLINK("https://klasma.github.io/Logging_2132/kartor/A 31224-2022.png", "A 31224-2022")</f>
        <v/>
      </c>
      <c r="U38">
        <f>HYPERLINK("https://klasma.github.io/Logging_2132/knärot/A 31224-2022.png", "A 31224-2022")</f>
        <v/>
      </c>
      <c r="V38">
        <f>HYPERLINK("https://klasma.github.io/Logging_2132/klagomål/A 31224-2022.docx", "A 31224-2022")</f>
        <v/>
      </c>
      <c r="W38">
        <f>HYPERLINK("https://klasma.github.io/Logging_2132/klagomålsmail/A 31224-2022.docx", "A 31224-2022")</f>
        <v/>
      </c>
      <c r="X38">
        <f>HYPERLINK("https://klasma.github.io/Logging_2132/tillsyn/A 31224-2022.docx", "A 31224-2022")</f>
        <v/>
      </c>
      <c r="Y38">
        <f>HYPERLINK("https://klasma.github.io/Logging_2132/tillsynsmail/A 31224-2022.docx", "A 31224-2022")</f>
        <v/>
      </c>
    </row>
    <row r="39" ht="15" customHeight="1">
      <c r="A39" t="inlineStr">
        <is>
          <t>A 51557-2022</t>
        </is>
      </c>
      <c r="B39" s="1" t="n">
        <v>44869</v>
      </c>
      <c r="C39" s="1" t="n">
        <v>45209</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51557-2022.xlsx", "A 51557-2022")</f>
        <v/>
      </c>
      <c r="T39">
        <f>HYPERLINK("https://klasma.github.io/Logging_2161/kartor/A 51557-2022.png", "A 51557-2022")</f>
        <v/>
      </c>
      <c r="V39">
        <f>HYPERLINK("https://klasma.github.io/Logging_2161/klagomål/A 51557-2022.docx", "A 51557-2022")</f>
        <v/>
      </c>
      <c r="W39">
        <f>HYPERLINK("https://klasma.github.io/Logging_2161/klagomålsmail/A 51557-2022.docx", "A 51557-2022")</f>
        <v/>
      </c>
      <c r="X39">
        <f>HYPERLINK("https://klasma.github.io/Logging_2161/tillsyn/A 51557-2022.docx", "A 51557-2022")</f>
        <v/>
      </c>
      <c r="Y39">
        <f>HYPERLINK("https://klasma.github.io/Logging_2161/tillsynsmail/A 51557-2022.docx", "A 51557-2022")</f>
        <v/>
      </c>
    </row>
    <row r="40" ht="15" customHeight="1">
      <c r="A40" t="inlineStr">
        <is>
          <t>A 42790-2018</t>
        </is>
      </c>
      <c r="B40" s="1" t="n">
        <v>43355</v>
      </c>
      <c r="C40" s="1" t="n">
        <v>45209</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42790-2018.xlsx", "A 42790-2018")</f>
        <v/>
      </c>
      <c r="T40">
        <f>HYPERLINK("https://klasma.github.io/Logging_2184/kartor/A 42790-2018.png", "A 42790-2018")</f>
        <v/>
      </c>
      <c r="V40">
        <f>HYPERLINK("https://klasma.github.io/Logging_2184/klagomål/A 42790-2018.docx", "A 42790-2018")</f>
        <v/>
      </c>
      <c r="W40">
        <f>HYPERLINK("https://klasma.github.io/Logging_2184/klagomålsmail/A 42790-2018.docx", "A 42790-2018")</f>
        <v/>
      </c>
      <c r="X40">
        <f>HYPERLINK("https://klasma.github.io/Logging_2184/tillsyn/A 42790-2018.docx", "A 42790-2018")</f>
        <v/>
      </c>
      <c r="Y40">
        <f>HYPERLINK("https://klasma.github.io/Logging_2184/tillsynsmail/A 42790-2018.docx", "A 42790-2018")</f>
        <v/>
      </c>
    </row>
    <row r="41" ht="15" customHeight="1">
      <c r="A41" t="inlineStr">
        <is>
          <t>A 43003-2018</t>
        </is>
      </c>
      <c r="B41" s="1" t="n">
        <v>43355</v>
      </c>
      <c r="C41" s="1" t="n">
        <v>45209</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43003-2018.xlsx", "A 43003-2018")</f>
        <v/>
      </c>
      <c r="T41">
        <f>HYPERLINK("https://klasma.github.io/Logging_2184/kartor/A 43003-2018.png", "A 43003-2018")</f>
        <v/>
      </c>
      <c r="V41">
        <f>HYPERLINK("https://klasma.github.io/Logging_2184/klagomål/A 43003-2018.docx", "A 43003-2018")</f>
        <v/>
      </c>
      <c r="W41">
        <f>HYPERLINK("https://klasma.github.io/Logging_2184/klagomålsmail/A 43003-2018.docx", "A 43003-2018")</f>
        <v/>
      </c>
      <c r="X41">
        <f>HYPERLINK("https://klasma.github.io/Logging_2184/tillsyn/A 43003-2018.docx", "A 43003-2018")</f>
        <v/>
      </c>
      <c r="Y41">
        <f>HYPERLINK("https://klasma.github.io/Logging_2184/tillsynsmail/A 43003-2018.docx", "A 43003-2018")</f>
        <v/>
      </c>
    </row>
    <row r="42" ht="15" customHeight="1">
      <c r="A42" t="inlineStr">
        <is>
          <t>A 30593-2019</t>
        </is>
      </c>
      <c r="B42" s="1" t="n">
        <v>43635</v>
      </c>
      <c r="C42" s="1" t="n">
        <v>45209</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30593-2019.xlsx", "A 30593-2019")</f>
        <v/>
      </c>
      <c r="T42">
        <f>HYPERLINK("https://klasma.github.io/Logging_2104/kartor/A 30593-2019.png", "A 30593-2019")</f>
        <v/>
      </c>
      <c r="U42">
        <f>HYPERLINK("https://klasma.github.io/Logging_2104/knärot/A 30593-2019.png", "A 30593-2019")</f>
        <v/>
      </c>
      <c r="V42">
        <f>HYPERLINK("https://klasma.github.io/Logging_2104/klagomål/A 30593-2019.docx", "A 30593-2019")</f>
        <v/>
      </c>
      <c r="W42">
        <f>HYPERLINK("https://klasma.github.io/Logging_2104/klagomålsmail/A 30593-2019.docx", "A 30593-2019")</f>
        <v/>
      </c>
      <c r="X42">
        <f>HYPERLINK("https://klasma.github.io/Logging_2104/tillsyn/A 30593-2019.docx", "A 30593-2019")</f>
        <v/>
      </c>
      <c r="Y42">
        <f>HYPERLINK("https://klasma.github.io/Logging_2104/tillsynsmail/A 30593-2019.docx", "A 30593-2019")</f>
        <v/>
      </c>
    </row>
    <row r="43" ht="15" customHeight="1">
      <c r="A43" t="inlineStr">
        <is>
          <t>A 157-2020</t>
        </is>
      </c>
      <c r="B43" s="1" t="n">
        <v>43833</v>
      </c>
      <c r="C43" s="1" t="n">
        <v>45209</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157-2020.xlsx", "A 157-2020")</f>
        <v/>
      </c>
      <c r="T43">
        <f>HYPERLINK("https://klasma.github.io/Logging_2184/kartor/A 157-2020.png", "A 157-2020")</f>
        <v/>
      </c>
      <c r="V43">
        <f>HYPERLINK("https://klasma.github.io/Logging_2184/klagomål/A 157-2020.docx", "A 157-2020")</f>
        <v/>
      </c>
      <c r="W43">
        <f>HYPERLINK("https://klasma.github.io/Logging_2184/klagomålsmail/A 157-2020.docx", "A 157-2020")</f>
        <v/>
      </c>
      <c r="X43">
        <f>HYPERLINK("https://klasma.github.io/Logging_2184/tillsyn/A 157-2020.docx", "A 157-2020")</f>
        <v/>
      </c>
      <c r="Y43">
        <f>HYPERLINK("https://klasma.github.io/Logging_2184/tillsynsmail/A 157-2020.docx", "A 157-2020")</f>
        <v/>
      </c>
    </row>
    <row r="44" ht="15" customHeight="1">
      <c r="A44" t="inlineStr">
        <is>
          <t>A 8176-2020</t>
        </is>
      </c>
      <c r="B44" s="1" t="n">
        <v>43874</v>
      </c>
      <c r="C44" s="1" t="n">
        <v>45209</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8176-2020.xlsx", "A 8176-2020")</f>
        <v/>
      </c>
      <c r="T44">
        <f>HYPERLINK("https://klasma.github.io/Logging_2182/kartor/A 8176-2020.png", "A 8176-2020")</f>
        <v/>
      </c>
      <c r="V44">
        <f>HYPERLINK("https://klasma.github.io/Logging_2182/klagomål/A 8176-2020.docx", "A 8176-2020")</f>
        <v/>
      </c>
      <c r="W44">
        <f>HYPERLINK("https://klasma.github.io/Logging_2182/klagomålsmail/A 8176-2020.docx", "A 8176-2020")</f>
        <v/>
      </c>
      <c r="X44">
        <f>HYPERLINK("https://klasma.github.io/Logging_2182/tillsyn/A 8176-2020.docx", "A 8176-2020")</f>
        <v/>
      </c>
      <c r="Y44">
        <f>HYPERLINK("https://klasma.github.io/Logging_2182/tillsynsmail/A 8176-2020.docx", "A 8176-2020")</f>
        <v/>
      </c>
    </row>
    <row r="45" ht="15" customHeight="1">
      <c r="A45" t="inlineStr">
        <is>
          <t>A 49714-2020</t>
        </is>
      </c>
      <c r="B45" s="1" t="n">
        <v>44106</v>
      </c>
      <c r="C45" s="1" t="n">
        <v>45209</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49714-2020.xlsx", "A 49714-2020")</f>
        <v/>
      </c>
      <c r="T45">
        <f>HYPERLINK("https://klasma.github.io/Logging_2184/kartor/A 49714-2020.png", "A 49714-2020")</f>
        <v/>
      </c>
      <c r="U45">
        <f>HYPERLINK("https://klasma.github.io/Logging_2184/knärot/A 49714-2020.png", "A 49714-2020")</f>
        <v/>
      </c>
      <c r="V45">
        <f>HYPERLINK("https://klasma.github.io/Logging_2184/klagomål/A 49714-2020.docx", "A 49714-2020")</f>
        <v/>
      </c>
      <c r="W45">
        <f>HYPERLINK("https://klasma.github.io/Logging_2184/klagomålsmail/A 49714-2020.docx", "A 49714-2020")</f>
        <v/>
      </c>
      <c r="X45">
        <f>HYPERLINK("https://klasma.github.io/Logging_2184/tillsyn/A 49714-2020.docx", "A 49714-2020")</f>
        <v/>
      </c>
      <c r="Y45">
        <f>HYPERLINK("https://klasma.github.io/Logging_2184/tillsynsmail/A 49714-2020.docx", "A 49714-2020")</f>
        <v/>
      </c>
    </row>
    <row r="46" ht="15" customHeight="1">
      <c r="A46" t="inlineStr">
        <is>
          <t>A 55869-2020</t>
        </is>
      </c>
      <c r="B46" s="1" t="n">
        <v>44132</v>
      </c>
      <c r="C46" s="1" t="n">
        <v>45209</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55869-2020.xlsx", "A 55869-2020")</f>
        <v/>
      </c>
      <c r="T46">
        <f>HYPERLINK("https://klasma.github.io/Logging_2184/kartor/A 55869-2020.png", "A 55869-2020")</f>
        <v/>
      </c>
      <c r="V46">
        <f>HYPERLINK("https://klasma.github.io/Logging_2184/klagomål/A 55869-2020.docx", "A 55869-2020")</f>
        <v/>
      </c>
      <c r="W46">
        <f>HYPERLINK("https://klasma.github.io/Logging_2184/klagomålsmail/A 55869-2020.docx", "A 55869-2020")</f>
        <v/>
      </c>
      <c r="X46">
        <f>HYPERLINK("https://klasma.github.io/Logging_2184/tillsyn/A 55869-2020.docx", "A 55869-2020")</f>
        <v/>
      </c>
      <c r="Y46">
        <f>HYPERLINK("https://klasma.github.io/Logging_2184/tillsynsmail/A 55869-2020.docx", "A 55869-2020")</f>
        <v/>
      </c>
    </row>
    <row r="47" ht="15" customHeight="1">
      <c r="A47" t="inlineStr">
        <is>
          <t>A 13800-2021</t>
        </is>
      </c>
      <c r="B47" s="1" t="n">
        <v>44275</v>
      </c>
      <c r="C47" s="1" t="n">
        <v>45209</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13800-2021.xlsx", "A 13800-2021")</f>
        <v/>
      </c>
      <c r="T47">
        <f>HYPERLINK("https://klasma.github.io/Logging_2182/kartor/A 13800-2021.png", "A 13800-2021")</f>
        <v/>
      </c>
      <c r="V47">
        <f>HYPERLINK("https://klasma.github.io/Logging_2182/klagomål/A 13800-2021.docx", "A 13800-2021")</f>
        <v/>
      </c>
      <c r="W47">
        <f>HYPERLINK("https://klasma.github.io/Logging_2182/klagomålsmail/A 13800-2021.docx", "A 13800-2021")</f>
        <v/>
      </c>
      <c r="X47">
        <f>HYPERLINK("https://klasma.github.io/Logging_2182/tillsyn/A 13800-2021.docx", "A 13800-2021")</f>
        <v/>
      </c>
      <c r="Y47">
        <f>HYPERLINK("https://klasma.github.io/Logging_2182/tillsynsmail/A 13800-2021.docx", "A 13800-2021")</f>
        <v/>
      </c>
    </row>
    <row r="48" ht="15" customHeight="1">
      <c r="A48" t="inlineStr">
        <is>
          <t>A 39526-2021</t>
        </is>
      </c>
      <c r="B48" s="1" t="n">
        <v>44415</v>
      </c>
      <c r="C48" s="1" t="n">
        <v>45209</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39526-2021.xlsx", "A 39526-2021")</f>
        <v/>
      </c>
      <c r="T48">
        <f>HYPERLINK("https://klasma.github.io/Logging_2184/kartor/A 39526-2021.png", "A 39526-2021")</f>
        <v/>
      </c>
      <c r="U48">
        <f>HYPERLINK("https://klasma.github.io/Logging_2184/knärot/A 39526-2021.png", "A 39526-2021")</f>
        <v/>
      </c>
      <c r="V48">
        <f>HYPERLINK("https://klasma.github.io/Logging_2184/klagomål/A 39526-2021.docx", "A 39526-2021")</f>
        <v/>
      </c>
      <c r="W48">
        <f>HYPERLINK("https://klasma.github.io/Logging_2184/klagomålsmail/A 39526-2021.docx", "A 39526-2021")</f>
        <v/>
      </c>
      <c r="X48">
        <f>HYPERLINK("https://klasma.github.io/Logging_2184/tillsyn/A 39526-2021.docx", "A 39526-2021")</f>
        <v/>
      </c>
      <c r="Y48">
        <f>HYPERLINK("https://klasma.github.io/Logging_2184/tillsynsmail/A 39526-2021.docx", "A 39526-2021")</f>
        <v/>
      </c>
    </row>
    <row r="49" ht="15" customHeight="1">
      <c r="A49" t="inlineStr">
        <is>
          <t>A 59885-2021</t>
        </is>
      </c>
      <c r="B49" s="1" t="n">
        <v>44494</v>
      </c>
      <c r="C49" s="1" t="n">
        <v>45209</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59885-2021.xlsx", "A 59885-2021")</f>
        <v/>
      </c>
      <c r="T49">
        <f>HYPERLINK("https://klasma.github.io/Logging_2180/kartor/A 59885-2021.png", "A 59885-2021")</f>
        <v/>
      </c>
      <c r="V49">
        <f>HYPERLINK("https://klasma.github.io/Logging_2180/klagomål/A 59885-2021.docx", "A 59885-2021")</f>
        <v/>
      </c>
      <c r="W49">
        <f>HYPERLINK("https://klasma.github.io/Logging_2180/klagomålsmail/A 59885-2021.docx", "A 59885-2021")</f>
        <v/>
      </c>
      <c r="X49">
        <f>HYPERLINK("https://klasma.github.io/Logging_2180/tillsyn/A 59885-2021.docx", "A 59885-2021")</f>
        <v/>
      </c>
      <c r="Y49">
        <f>HYPERLINK("https://klasma.github.io/Logging_2180/tillsynsmail/A 59885-2021.docx", "A 59885-2021")</f>
        <v/>
      </c>
    </row>
    <row r="50" ht="15" customHeight="1">
      <c r="A50" t="inlineStr">
        <is>
          <t>A 8966-2022</t>
        </is>
      </c>
      <c r="B50" s="1" t="n">
        <v>44614</v>
      </c>
      <c r="C50" s="1" t="n">
        <v>45209</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8966-2022.xlsx", "A 8966-2022")</f>
        <v/>
      </c>
      <c r="T50">
        <f>HYPERLINK("https://klasma.github.io/Logging_2184/kartor/A 8966-2022.png", "A 8966-2022")</f>
        <v/>
      </c>
      <c r="V50">
        <f>HYPERLINK("https://klasma.github.io/Logging_2184/klagomål/A 8966-2022.docx", "A 8966-2022")</f>
        <v/>
      </c>
      <c r="W50">
        <f>HYPERLINK("https://klasma.github.io/Logging_2184/klagomålsmail/A 8966-2022.docx", "A 8966-2022")</f>
        <v/>
      </c>
      <c r="X50">
        <f>HYPERLINK("https://klasma.github.io/Logging_2184/tillsyn/A 8966-2022.docx", "A 8966-2022")</f>
        <v/>
      </c>
      <c r="Y50">
        <f>HYPERLINK("https://klasma.github.io/Logging_2184/tillsynsmail/A 8966-2022.docx", "A 8966-2022")</f>
        <v/>
      </c>
    </row>
    <row r="51" ht="15" customHeight="1">
      <c r="A51" t="inlineStr">
        <is>
          <t>A 18631-2022</t>
        </is>
      </c>
      <c r="B51" s="1" t="n">
        <v>44687</v>
      </c>
      <c r="C51" s="1" t="n">
        <v>45209</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18631-2022.xlsx", "A 18631-2022")</f>
        <v/>
      </c>
      <c r="T51">
        <f>HYPERLINK("https://klasma.github.io/Logging_2161/kartor/A 18631-2022.png", "A 18631-2022")</f>
        <v/>
      </c>
      <c r="U51">
        <f>HYPERLINK("https://klasma.github.io/Logging_2161/knärot/A 18631-2022.png", "A 18631-2022")</f>
        <v/>
      </c>
      <c r="V51">
        <f>HYPERLINK("https://klasma.github.io/Logging_2161/klagomål/A 18631-2022.docx", "A 18631-2022")</f>
        <v/>
      </c>
      <c r="W51">
        <f>HYPERLINK("https://klasma.github.io/Logging_2161/klagomålsmail/A 18631-2022.docx", "A 18631-2022")</f>
        <v/>
      </c>
      <c r="X51">
        <f>HYPERLINK("https://klasma.github.io/Logging_2161/tillsyn/A 18631-2022.docx", "A 18631-2022")</f>
        <v/>
      </c>
      <c r="Y51">
        <f>HYPERLINK("https://klasma.github.io/Logging_2161/tillsynsmail/A 18631-2022.docx", "A 18631-2022")</f>
        <v/>
      </c>
    </row>
    <row r="52" ht="15" customHeight="1">
      <c r="A52" t="inlineStr">
        <is>
          <t>A 18705-2022</t>
        </is>
      </c>
      <c r="B52" s="1" t="n">
        <v>44687</v>
      </c>
      <c r="C52" s="1" t="n">
        <v>45209</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18705-2022.xlsx", "A 18705-2022")</f>
        <v/>
      </c>
      <c r="T52">
        <f>HYPERLINK("https://klasma.github.io/Logging_2161/kartor/A 18705-2022.png", "A 18705-2022")</f>
        <v/>
      </c>
      <c r="U52">
        <f>HYPERLINK("https://klasma.github.io/Logging_2161/knärot/A 18705-2022.png", "A 18705-2022")</f>
        <v/>
      </c>
      <c r="V52">
        <f>HYPERLINK("https://klasma.github.io/Logging_2161/klagomål/A 18705-2022.docx", "A 18705-2022")</f>
        <v/>
      </c>
      <c r="W52">
        <f>HYPERLINK("https://klasma.github.io/Logging_2161/klagomålsmail/A 18705-2022.docx", "A 18705-2022")</f>
        <v/>
      </c>
      <c r="X52">
        <f>HYPERLINK("https://klasma.github.io/Logging_2161/tillsyn/A 18705-2022.docx", "A 18705-2022")</f>
        <v/>
      </c>
      <c r="Y52">
        <f>HYPERLINK("https://klasma.github.io/Logging_2161/tillsynsmail/A 18705-2022.docx", "A 18705-2022")</f>
        <v/>
      </c>
    </row>
    <row r="53" ht="15" customHeight="1">
      <c r="A53" t="inlineStr">
        <is>
          <t>A 20628-2022</t>
        </is>
      </c>
      <c r="B53" s="1" t="n">
        <v>44700</v>
      </c>
      <c r="C53" s="1" t="n">
        <v>45209</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20628-2022.xlsx", "A 20628-2022")</f>
        <v/>
      </c>
      <c r="T53">
        <f>HYPERLINK("https://klasma.github.io/Logging_2161/kartor/A 20628-2022.png", "A 20628-2022")</f>
        <v/>
      </c>
      <c r="V53">
        <f>HYPERLINK("https://klasma.github.io/Logging_2161/klagomål/A 20628-2022.docx", "A 20628-2022")</f>
        <v/>
      </c>
      <c r="W53">
        <f>HYPERLINK("https://klasma.github.io/Logging_2161/klagomålsmail/A 20628-2022.docx", "A 20628-2022")</f>
        <v/>
      </c>
      <c r="X53">
        <f>HYPERLINK("https://klasma.github.io/Logging_2161/tillsyn/A 20628-2022.docx", "A 20628-2022")</f>
        <v/>
      </c>
      <c r="Y53">
        <f>HYPERLINK("https://klasma.github.io/Logging_2161/tillsynsmail/A 20628-2022.docx", "A 20628-2022")</f>
        <v/>
      </c>
    </row>
    <row r="54" ht="15" customHeight="1">
      <c r="A54" t="inlineStr">
        <is>
          <t>A 35985-2022</t>
        </is>
      </c>
      <c r="B54" s="1" t="n">
        <v>44802</v>
      </c>
      <c r="C54" s="1" t="n">
        <v>45209</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35985-2022.xlsx", "A 35985-2022")</f>
        <v/>
      </c>
      <c r="T54">
        <f>HYPERLINK("https://klasma.github.io/Logging_2184/kartor/A 35985-2022.png", "A 35985-2022")</f>
        <v/>
      </c>
      <c r="V54">
        <f>HYPERLINK("https://klasma.github.io/Logging_2184/klagomål/A 35985-2022.docx", "A 35985-2022")</f>
        <v/>
      </c>
      <c r="W54">
        <f>HYPERLINK("https://klasma.github.io/Logging_2184/klagomålsmail/A 35985-2022.docx", "A 35985-2022")</f>
        <v/>
      </c>
      <c r="X54">
        <f>HYPERLINK("https://klasma.github.io/Logging_2184/tillsyn/A 35985-2022.docx", "A 35985-2022")</f>
        <v/>
      </c>
      <c r="Y54">
        <f>HYPERLINK("https://klasma.github.io/Logging_2184/tillsynsmail/A 35985-2022.docx", "A 35985-2022")</f>
        <v/>
      </c>
    </row>
    <row r="55" ht="15" customHeight="1">
      <c r="A55" t="inlineStr">
        <is>
          <t>A 13749-2023</t>
        </is>
      </c>
      <c r="B55" s="1" t="n">
        <v>45007</v>
      </c>
      <c r="C55" s="1" t="n">
        <v>45209</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13749-2023.xlsx", "A 13749-2023")</f>
        <v/>
      </c>
      <c r="T55">
        <f>HYPERLINK("https://klasma.github.io/Logging_2104/kartor/A 13749-2023.png", "A 13749-2023")</f>
        <v/>
      </c>
      <c r="V55">
        <f>HYPERLINK("https://klasma.github.io/Logging_2104/klagomål/A 13749-2023.docx", "A 13749-2023")</f>
        <v/>
      </c>
      <c r="W55">
        <f>HYPERLINK("https://klasma.github.io/Logging_2104/klagomålsmail/A 13749-2023.docx", "A 13749-2023")</f>
        <v/>
      </c>
      <c r="X55">
        <f>HYPERLINK("https://klasma.github.io/Logging_2104/tillsyn/A 13749-2023.docx", "A 13749-2023")</f>
        <v/>
      </c>
      <c r="Y55">
        <f>HYPERLINK("https://klasma.github.io/Logging_2104/tillsynsmail/A 13749-2023.docx", "A 13749-2023")</f>
        <v/>
      </c>
    </row>
    <row r="56" ht="15" customHeight="1">
      <c r="A56" t="inlineStr">
        <is>
          <t>A 1915-2019</t>
        </is>
      </c>
      <c r="B56" s="1" t="n">
        <v>43475</v>
      </c>
      <c r="C56" s="1" t="n">
        <v>45209</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1915-2019.xlsx", "A 1915-2019")</f>
        <v/>
      </c>
      <c r="T56">
        <f>HYPERLINK("https://klasma.github.io/Logging_2184/kartor/A 1915-2019.png", "A 1915-2019")</f>
        <v/>
      </c>
      <c r="V56">
        <f>HYPERLINK("https://klasma.github.io/Logging_2184/klagomål/A 1915-2019.docx", "A 1915-2019")</f>
        <v/>
      </c>
      <c r="W56">
        <f>HYPERLINK("https://klasma.github.io/Logging_2184/klagomålsmail/A 1915-2019.docx", "A 1915-2019")</f>
        <v/>
      </c>
      <c r="X56">
        <f>HYPERLINK("https://klasma.github.io/Logging_2184/tillsyn/A 1915-2019.docx", "A 1915-2019")</f>
        <v/>
      </c>
      <c r="Y56">
        <f>HYPERLINK("https://klasma.github.io/Logging_2184/tillsynsmail/A 1915-2019.docx", "A 1915-2019")</f>
        <v/>
      </c>
    </row>
    <row r="57" ht="15" customHeight="1">
      <c r="A57" t="inlineStr">
        <is>
          <t>A 5644-2019</t>
        </is>
      </c>
      <c r="B57" s="1" t="n">
        <v>43489</v>
      </c>
      <c r="C57" s="1" t="n">
        <v>45209</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5644-2019.xlsx", "A 5644-2019")</f>
        <v/>
      </c>
      <c r="T57">
        <f>HYPERLINK("https://klasma.github.io/Logging_2184/kartor/A 5644-2019.png", "A 5644-2019")</f>
        <v/>
      </c>
      <c r="V57">
        <f>HYPERLINK("https://klasma.github.io/Logging_2184/klagomål/A 5644-2019.docx", "A 5644-2019")</f>
        <v/>
      </c>
      <c r="W57">
        <f>HYPERLINK("https://klasma.github.io/Logging_2184/klagomålsmail/A 5644-2019.docx", "A 5644-2019")</f>
        <v/>
      </c>
      <c r="X57">
        <f>HYPERLINK("https://klasma.github.io/Logging_2184/tillsyn/A 5644-2019.docx", "A 5644-2019")</f>
        <v/>
      </c>
      <c r="Y57">
        <f>HYPERLINK("https://klasma.github.io/Logging_2184/tillsynsmail/A 5644-2019.docx", "A 5644-2019")</f>
        <v/>
      </c>
    </row>
    <row r="58" ht="15" customHeight="1">
      <c r="A58" t="inlineStr">
        <is>
          <t>A 22996-2019</t>
        </is>
      </c>
      <c r="B58" s="1" t="n">
        <v>43591</v>
      </c>
      <c r="C58" s="1" t="n">
        <v>45209</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22996-2019.xlsx", "A 22996-2019")</f>
        <v/>
      </c>
      <c r="T58">
        <f>HYPERLINK("https://klasma.github.io/Logging_2132/kartor/A 22996-2019.png", "A 22996-2019")</f>
        <v/>
      </c>
      <c r="V58">
        <f>HYPERLINK("https://klasma.github.io/Logging_2132/klagomål/A 22996-2019.docx", "A 22996-2019")</f>
        <v/>
      </c>
      <c r="W58">
        <f>HYPERLINK("https://klasma.github.io/Logging_2132/klagomålsmail/A 22996-2019.docx", "A 22996-2019")</f>
        <v/>
      </c>
      <c r="X58">
        <f>HYPERLINK("https://klasma.github.io/Logging_2132/tillsyn/A 22996-2019.docx", "A 22996-2019")</f>
        <v/>
      </c>
      <c r="Y58">
        <f>HYPERLINK("https://klasma.github.io/Logging_2132/tillsynsmail/A 22996-2019.docx", "A 22996-2019")</f>
        <v/>
      </c>
    </row>
    <row r="59" ht="15" customHeight="1">
      <c r="A59" t="inlineStr">
        <is>
          <t>A 44518-2019</t>
        </is>
      </c>
      <c r="B59" s="1" t="n">
        <v>43711</v>
      </c>
      <c r="C59" s="1" t="n">
        <v>45209</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44518-2019.xlsx", "A 44518-2019")</f>
        <v/>
      </c>
      <c r="T59">
        <f>HYPERLINK("https://klasma.github.io/Logging_2161/kartor/A 44518-2019.png", "A 44518-2019")</f>
        <v/>
      </c>
      <c r="V59">
        <f>HYPERLINK("https://klasma.github.io/Logging_2161/klagomål/A 44518-2019.docx", "A 44518-2019")</f>
        <v/>
      </c>
      <c r="W59">
        <f>HYPERLINK("https://klasma.github.io/Logging_2161/klagomålsmail/A 44518-2019.docx", "A 44518-2019")</f>
        <v/>
      </c>
      <c r="X59">
        <f>HYPERLINK("https://klasma.github.io/Logging_2161/tillsyn/A 44518-2019.docx", "A 44518-2019")</f>
        <v/>
      </c>
      <c r="Y59">
        <f>HYPERLINK("https://klasma.github.io/Logging_2161/tillsynsmail/A 44518-2019.docx", "A 44518-2019")</f>
        <v/>
      </c>
    </row>
    <row r="60" ht="15" customHeight="1">
      <c r="A60" t="inlineStr">
        <is>
          <t>A 45009-2019</t>
        </is>
      </c>
      <c r="B60" s="1" t="n">
        <v>43713</v>
      </c>
      <c r="C60" s="1" t="n">
        <v>45209</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45009-2019.xlsx", "A 45009-2019")</f>
        <v/>
      </c>
      <c r="T60">
        <f>HYPERLINK("https://klasma.github.io/Logging_2121/kartor/A 45009-2019.png", "A 45009-2019")</f>
        <v/>
      </c>
      <c r="U60">
        <f>HYPERLINK("https://klasma.github.io/Logging_2121/knärot/A 45009-2019.png", "A 45009-2019")</f>
        <v/>
      </c>
      <c r="V60">
        <f>HYPERLINK("https://klasma.github.io/Logging_2121/klagomål/A 45009-2019.docx", "A 45009-2019")</f>
        <v/>
      </c>
      <c r="W60">
        <f>HYPERLINK("https://klasma.github.io/Logging_2121/klagomålsmail/A 45009-2019.docx", "A 45009-2019")</f>
        <v/>
      </c>
      <c r="X60">
        <f>HYPERLINK("https://klasma.github.io/Logging_2121/tillsyn/A 45009-2019.docx", "A 45009-2019")</f>
        <v/>
      </c>
      <c r="Y60">
        <f>HYPERLINK("https://klasma.github.io/Logging_2121/tillsynsmail/A 45009-2019.docx", "A 45009-2019")</f>
        <v/>
      </c>
    </row>
    <row r="61" ht="15" customHeight="1">
      <c r="A61" t="inlineStr">
        <is>
          <t>A 65976-2019</t>
        </is>
      </c>
      <c r="B61" s="1" t="n">
        <v>43805</v>
      </c>
      <c r="C61" s="1" t="n">
        <v>45209</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65976-2019.xlsx", "A 65976-2019")</f>
        <v/>
      </c>
      <c r="T61">
        <f>HYPERLINK("https://klasma.github.io/Logging_2182/kartor/A 65976-2019.png", "A 65976-2019")</f>
        <v/>
      </c>
      <c r="V61">
        <f>HYPERLINK("https://klasma.github.io/Logging_2182/klagomål/A 65976-2019.docx", "A 65976-2019")</f>
        <v/>
      </c>
      <c r="W61">
        <f>HYPERLINK("https://klasma.github.io/Logging_2182/klagomålsmail/A 65976-2019.docx", "A 65976-2019")</f>
        <v/>
      </c>
      <c r="X61">
        <f>HYPERLINK("https://klasma.github.io/Logging_2182/tillsyn/A 65976-2019.docx", "A 65976-2019")</f>
        <v/>
      </c>
      <c r="Y61">
        <f>HYPERLINK("https://klasma.github.io/Logging_2182/tillsynsmail/A 65976-2019.docx", "A 65976-2019")</f>
        <v/>
      </c>
    </row>
    <row r="62" ht="15" customHeight="1">
      <c r="A62" t="inlineStr">
        <is>
          <t>A 67329-2019</t>
        </is>
      </c>
      <c r="B62" s="1" t="n">
        <v>43812</v>
      </c>
      <c r="C62" s="1" t="n">
        <v>45209</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67329-2019.xlsx", "A 67329-2019")</f>
        <v/>
      </c>
      <c r="T62">
        <f>HYPERLINK("https://klasma.github.io/Logging_2180/kartor/A 67329-2019.png", "A 67329-2019")</f>
        <v/>
      </c>
      <c r="U62">
        <f>HYPERLINK("https://klasma.github.io/Logging_2180/knärot/A 67329-2019.png", "A 67329-2019")</f>
        <v/>
      </c>
      <c r="V62">
        <f>HYPERLINK("https://klasma.github.io/Logging_2180/klagomål/A 67329-2019.docx", "A 67329-2019")</f>
        <v/>
      </c>
      <c r="W62">
        <f>HYPERLINK("https://klasma.github.io/Logging_2180/klagomålsmail/A 67329-2019.docx", "A 67329-2019")</f>
        <v/>
      </c>
      <c r="X62">
        <f>HYPERLINK("https://klasma.github.io/Logging_2180/tillsyn/A 67329-2019.docx", "A 67329-2019")</f>
        <v/>
      </c>
      <c r="Y62">
        <f>HYPERLINK("https://klasma.github.io/Logging_2180/tillsynsmail/A 67329-2019.docx", "A 67329-2019")</f>
        <v/>
      </c>
    </row>
    <row r="63" ht="15" customHeight="1">
      <c r="A63" t="inlineStr">
        <is>
          <t>A 59346-2020</t>
        </is>
      </c>
      <c r="B63" s="1" t="n">
        <v>44148</v>
      </c>
      <c r="C63" s="1" t="n">
        <v>45209</v>
      </c>
      <c r="D63" t="inlineStr">
        <is>
          <t>GÄVLEBORGS LÄN</t>
        </is>
      </c>
      <c r="E63" t="inlineStr">
        <is>
          <t>LJUSDAL</t>
        </is>
      </c>
      <c r="F63" t="inlineStr">
        <is>
          <t>Sveaskog</t>
        </is>
      </c>
      <c r="G63" t="n">
        <v>10.8</v>
      </c>
      <c r="H63" t="n">
        <v>1</v>
      </c>
      <c r="I63" t="n">
        <v>2</v>
      </c>
      <c r="J63" t="n">
        <v>2</v>
      </c>
      <c r="K63" t="n">
        <v>1</v>
      </c>
      <c r="L63" t="n">
        <v>0</v>
      </c>
      <c r="M63" t="n">
        <v>0</v>
      </c>
      <c r="N63" t="n">
        <v>0</v>
      </c>
      <c r="O63" t="n">
        <v>3</v>
      </c>
      <c r="P63" t="n">
        <v>1</v>
      </c>
      <c r="Q63" t="n">
        <v>5</v>
      </c>
      <c r="R63" s="2" t="inlineStr">
        <is>
          <t>Knärot
Blå taggsvamp
Lunglav
Dropptaggsvamp
Zontaggsvamp</t>
        </is>
      </c>
      <c r="S63">
        <f>HYPERLINK("https://klasma.github.io/Logging_2161/artfynd/A 59346-2020.xlsx", "A 59346-2020")</f>
        <v/>
      </c>
      <c r="T63">
        <f>HYPERLINK("https://klasma.github.io/Logging_2161/kartor/A 59346-2020.png", "A 59346-2020")</f>
        <v/>
      </c>
      <c r="U63">
        <f>HYPERLINK("https://klasma.github.io/Logging_2161/knärot/A 59346-2020.png", "A 59346-2020")</f>
        <v/>
      </c>
      <c r="V63">
        <f>HYPERLINK("https://klasma.github.io/Logging_2161/klagomål/A 59346-2020.docx", "A 59346-2020")</f>
        <v/>
      </c>
      <c r="W63">
        <f>HYPERLINK("https://klasma.github.io/Logging_2161/klagomålsmail/A 59346-2020.docx", "A 59346-2020")</f>
        <v/>
      </c>
      <c r="X63">
        <f>HYPERLINK("https://klasma.github.io/Logging_2161/tillsyn/A 59346-2020.docx", "A 59346-2020")</f>
        <v/>
      </c>
      <c r="Y63">
        <f>HYPERLINK("https://klasma.github.io/Logging_2161/tillsynsmail/A 59346-2020.docx", "A 59346-2020")</f>
        <v/>
      </c>
    </row>
    <row r="64" ht="15" customHeight="1">
      <c r="A64" t="inlineStr">
        <is>
          <t>A 68600-2020</t>
        </is>
      </c>
      <c r="B64" s="1" t="n">
        <v>44186</v>
      </c>
      <c r="C64" s="1" t="n">
        <v>45209</v>
      </c>
      <c r="D64" t="inlineStr">
        <is>
          <t>GÄVLEBORGS LÄN</t>
        </is>
      </c>
      <c r="E64" t="inlineStr">
        <is>
          <t>HUDIKSVALL</t>
        </is>
      </c>
      <c r="F64" t="inlineStr">
        <is>
          <t>Kommuner</t>
        </is>
      </c>
      <c r="G64" t="n">
        <v>4.6</v>
      </c>
      <c r="H64" t="n">
        <v>1</v>
      </c>
      <c r="I64" t="n">
        <v>0</v>
      </c>
      <c r="J64" t="n">
        <v>4</v>
      </c>
      <c r="K64" t="n">
        <v>1</v>
      </c>
      <c r="L64" t="n">
        <v>0</v>
      </c>
      <c r="M64" t="n">
        <v>0</v>
      </c>
      <c r="N64" t="n">
        <v>0</v>
      </c>
      <c r="O64" t="n">
        <v>5</v>
      </c>
      <c r="P64" t="n">
        <v>1</v>
      </c>
      <c r="Q64" t="n">
        <v>5</v>
      </c>
      <c r="R64" s="2" t="inlineStr">
        <is>
          <t>Sprickporing
Garnlav
Grönsångare
Rosenticka
Ullticka</t>
        </is>
      </c>
      <c r="S64">
        <f>HYPERLINK("https://klasma.github.io/Logging_2184/artfynd/A 68600-2020.xlsx", "A 68600-2020")</f>
        <v/>
      </c>
      <c r="T64">
        <f>HYPERLINK("https://klasma.github.io/Logging_2184/kartor/A 68600-2020.png", "A 68600-2020")</f>
        <v/>
      </c>
      <c r="V64">
        <f>HYPERLINK("https://klasma.github.io/Logging_2184/klagomål/A 68600-2020.docx", "A 68600-2020")</f>
        <v/>
      </c>
      <c r="W64">
        <f>HYPERLINK("https://klasma.github.io/Logging_2184/klagomålsmail/A 68600-2020.docx", "A 68600-2020")</f>
        <v/>
      </c>
      <c r="X64">
        <f>HYPERLINK("https://klasma.github.io/Logging_2184/tillsyn/A 68600-2020.docx", "A 68600-2020")</f>
        <v/>
      </c>
      <c r="Y64">
        <f>HYPERLINK("https://klasma.github.io/Logging_2184/tillsynsmail/A 68600-2020.docx", "A 68600-2020")</f>
        <v/>
      </c>
    </row>
    <row r="65" ht="15" customHeight="1">
      <c r="A65" t="inlineStr">
        <is>
          <t>A 49036-2021</t>
        </is>
      </c>
      <c r="B65" s="1" t="n">
        <v>44453</v>
      </c>
      <c r="C65" s="1" t="n">
        <v>45209</v>
      </c>
      <c r="D65" t="inlineStr">
        <is>
          <t>GÄVLEBORGS LÄN</t>
        </is>
      </c>
      <c r="E65" t="inlineStr">
        <is>
          <t>HUDIKSVALL</t>
        </is>
      </c>
      <c r="G65" t="n">
        <v>11.7</v>
      </c>
      <c r="H65" t="n">
        <v>0</v>
      </c>
      <c r="I65" t="n">
        <v>2</v>
      </c>
      <c r="J65" t="n">
        <v>3</v>
      </c>
      <c r="K65" t="n">
        <v>0</v>
      </c>
      <c r="L65" t="n">
        <v>0</v>
      </c>
      <c r="M65" t="n">
        <v>0</v>
      </c>
      <c r="N65" t="n">
        <v>0</v>
      </c>
      <c r="O65" t="n">
        <v>3</v>
      </c>
      <c r="P65" t="n">
        <v>0</v>
      </c>
      <c r="Q65" t="n">
        <v>5</v>
      </c>
      <c r="R65" s="2" t="inlineStr">
        <is>
          <t>Granticka
Ullticka
Violettgrå tagellav
Kattfotslav
Vedticka</t>
        </is>
      </c>
      <c r="S65">
        <f>HYPERLINK("https://klasma.github.io/Logging_2184/artfynd/A 49036-2021.xlsx", "A 49036-2021")</f>
        <v/>
      </c>
      <c r="T65">
        <f>HYPERLINK("https://klasma.github.io/Logging_2184/kartor/A 49036-2021.png", "A 49036-2021")</f>
        <v/>
      </c>
      <c r="V65">
        <f>HYPERLINK("https://klasma.github.io/Logging_2184/klagomål/A 49036-2021.docx", "A 49036-2021")</f>
        <v/>
      </c>
      <c r="W65">
        <f>HYPERLINK("https://klasma.github.io/Logging_2184/klagomålsmail/A 49036-2021.docx", "A 49036-2021")</f>
        <v/>
      </c>
      <c r="X65">
        <f>HYPERLINK("https://klasma.github.io/Logging_2184/tillsyn/A 49036-2021.docx", "A 49036-2021")</f>
        <v/>
      </c>
      <c r="Y65">
        <f>HYPERLINK("https://klasma.github.io/Logging_2184/tillsynsmail/A 49036-2021.docx", "A 49036-2021")</f>
        <v/>
      </c>
    </row>
    <row r="66" ht="15" customHeight="1">
      <c r="A66" t="inlineStr">
        <is>
          <t>A 69018-2021</t>
        </is>
      </c>
      <c r="B66" s="1" t="n">
        <v>44530</v>
      </c>
      <c r="C66" s="1" t="n">
        <v>45209</v>
      </c>
      <c r="D66" t="inlineStr">
        <is>
          <t>GÄVLEBORGS LÄN</t>
        </is>
      </c>
      <c r="E66" t="inlineStr">
        <is>
          <t>LJUSDAL</t>
        </is>
      </c>
      <c r="G66" t="n">
        <v>3.3</v>
      </c>
      <c r="H66" t="n">
        <v>2</v>
      </c>
      <c r="I66" t="n">
        <v>1</v>
      </c>
      <c r="J66" t="n">
        <v>2</v>
      </c>
      <c r="K66" t="n">
        <v>1</v>
      </c>
      <c r="L66" t="n">
        <v>0</v>
      </c>
      <c r="M66" t="n">
        <v>0</v>
      </c>
      <c r="N66" t="n">
        <v>0</v>
      </c>
      <c r="O66" t="n">
        <v>3</v>
      </c>
      <c r="P66" t="n">
        <v>1</v>
      </c>
      <c r="Q66" t="n">
        <v>5</v>
      </c>
      <c r="R66" s="2" t="inlineStr">
        <is>
          <t>Knärot
Gammelgransskål
Garnlav
Bårdlav
Revlummer</t>
        </is>
      </c>
      <c r="S66">
        <f>HYPERLINK("https://klasma.github.io/Logging_2161/artfynd/A 69018-2021.xlsx", "A 69018-2021")</f>
        <v/>
      </c>
      <c r="T66">
        <f>HYPERLINK("https://klasma.github.io/Logging_2161/kartor/A 69018-2021.png", "A 69018-2021")</f>
        <v/>
      </c>
      <c r="U66">
        <f>HYPERLINK("https://klasma.github.io/Logging_2161/knärot/A 69018-2021.png", "A 69018-2021")</f>
        <v/>
      </c>
      <c r="V66">
        <f>HYPERLINK("https://klasma.github.io/Logging_2161/klagomål/A 69018-2021.docx", "A 69018-2021")</f>
        <v/>
      </c>
      <c r="W66">
        <f>HYPERLINK("https://klasma.github.io/Logging_2161/klagomålsmail/A 69018-2021.docx", "A 69018-2021")</f>
        <v/>
      </c>
      <c r="X66">
        <f>HYPERLINK("https://klasma.github.io/Logging_2161/tillsyn/A 69018-2021.docx", "A 69018-2021")</f>
        <v/>
      </c>
      <c r="Y66">
        <f>HYPERLINK("https://klasma.github.io/Logging_2161/tillsynsmail/A 69018-2021.docx", "A 69018-2021")</f>
        <v/>
      </c>
    </row>
    <row r="67" ht="15" customHeight="1">
      <c r="A67" t="inlineStr">
        <is>
          <t>A 7229-2022</t>
        </is>
      </c>
      <c r="B67" s="1" t="n">
        <v>44606</v>
      </c>
      <c r="C67" s="1" t="n">
        <v>45209</v>
      </c>
      <c r="D67" t="inlineStr">
        <is>
          <t>GÄVLEBORGS LÄN</t>
        </is>
      </c>
      <c r="E67" t="inlineStr">
        <is>
          <t>HUDIKSVALL</t>
        </is>
      </c>
      <c r="F67" t="inlineStr">
        <is>
          <t>Holmen skog AB</t>
        </is>
      </c>
      <c r="G67" t="n">
        <v>1.4</v>
      </c>
      <c r="H67" t="n">
        <v>1</v>
      </c>
      <c r="I67" t="n">
        <v>2</v>
      </c>
      <c r="J67" t="n">
        <v>2</v>
      </c>
      <c r="K67" t="n">
        <v>0</v>
      </c>
      <c r="L67" t="n">
        <v>0</v>
      </c>
      <c r="M67" t="n">
        <v>0</v>
      </c>
      <c r="N67" t="n">
        <v>0</v>
      </c>
      <c r="O67" t="n">
        <v>2</v>
      </c>
      <c r="P67" t="n">
        <v>0</v>
      </c>
      <c r="Q67" t="n">
        <v>5</v>
      </c>
      <c r="R67" s="2" t="inlineStr">
        <is>
          <t>Ullticka
Violettgrå tagellav
Bronshjon
Vedticka
Revlummer</t>
        </is>
      </c>
      <c r="S67">
        <f>HYPERLINK("https://klasma.github.io/Logging_2184/artfynd/A 7229-2022.xlsx", "A 7229-2022")</f>
        <v/>
      </c>
      <c r="T67">
        <f>HYPERLINK("https://klasma.github.io/Logging_2184/kartor/A 7229-2022.png", "A 7229-2022")</f>
        <v/>
      </c>
      <c r="V67">
        <f>HYPERLINK("https://klasma.github.io/Logging_2184/klagomål/A 7229-2022.docx", "A 7229-2022")</f>
        <v/>
      </c>
      <c r="W67">
        <f>HYPERLINK("https://klasma.github.io/Logging_2184/klagomålsmail/A 7229-2022.docx", "A 7229-2022")</f>
        <v/>
      </c>
      <c r="X67">
        <f>HYPERLINK("https://klasma.github.io/Logging_2184/tillsyn/A 7229-2022.docx", "A 7229-2022")</f>
        <v/>
      </c>
      <c r="Y67">
        <f>HYPERLINK("https://klasma.github.io/Logging_2184/tillsynsmail/A 7229-2022.docx", "A 7229-2022")</f>
        <v/>
      </c>
    </row>
    <row r="68" ht="15" customHeight="1">
      <c r="A68" t="inlineStr">
        <is>
          <t>A 29834-2022</t>
        </is>
      </c>
      <c r="B68" s="1" t="n">
        <v>44755</v>
      </c>
      <c r="C68" s="1" t="n">
        <v>45209</v>
      </c>
      <c r="D68" t="inlineStr">
        <is>
          <t>GÄVLEBORGS LÄN</t>
        </is>
      </c>
      <c r="E68" t="inlineStr">
        <is>
          <t>LJUSDAL</t>
        </is>
      </c>
      <c r="F68" t="inlineStr">
        <is>
          <t>SCA</t>
        </is>
      </c>
      <c r="G68" t="n">
        <v>21.9</v>
      </c>
      <c r="H68" t="n">
        <v>2</v>
      </c>
      <c r="I68" t="n">
        <v>0</v>
      </c>
      <c r="J68" t="n">
        <v>4</v>
      </c>
      <c r="K68" t="n">
        <v>1</v>
      </c>
      <c r="L68" t="n">
        <v>0</v>
      </c>
      <c r="M68" t="n">
        <v>0</v>
      </c>
      <c r="N68" t="n">
        <v>0</v>
      </c>
      <c r="O68" t="n">
        <v>5</v>
      </c>
      <c r="P68" t="n">
        <v>1</v>
      </c>
      <c r="Q68" t="n">
        <v>5</v>
      </c>
      <c r="R68" s="2" t="inlineStr">
        <is>
          <t>Knärot
Garnlav
Mörk kolflarnlav
Tretåig hackspett
Vedskivlav</t>
        </is>
      </c>
      <c r="S68">
        <f>HYPERLINK("https://klasma.github.io/Logging_2161/artfynd/A 29834-2022.xlsx", "A 29834-2022")</f>
        <v/>
      </c>
      <c r="T68">
        <f>HYPERLINK("https://klasma.github.io/Logging_2161/kartor/A 29834-2022.png", "A 29834-2022")</f>
        <v/>
      </c>
      <c r="U68">
        <f>HYPERLINK("https://klasma.github.io/Logging_2161/knärot/A 29834-2022.png", "A 29834-2022")</f>
        <v/>
      </c>
      <c r="V68">
        <f>HYPERLINK("https://klasma.github.io/Logging_2161/klagomål/A 29834-2022.docx", "A 29834-2022")</f>
        <v/>
      </c>
      <c r="W68">
        <f>HYPERLINK("https://klasma.github.io/Logging_2161/klagomålsmail/A 29834-2022.docx", "A 29834-2022")</f>
        <v/>
      </c>
      <c r="X68">
        <f>HYPERLINK("https://klasma.github.io/Logging_2161/tillsyn/A 29834-2022.docx", "A 29834-2022")</f>
        <v/>
      </c>
      <c r="Y68">
        <f>HYPERLINK("https://klasma.github.io/Logging_2161/tillsynsmail/A 29834-2022.docx", "A 29834-2022")</f>
        <v/>
      </c>
    </row>
    <row r="69" ht="15" customHeight="1">
      <c r="A69" t="inlineStr">
        <is>
          <t>A 31463-2022</t>
        </is>
      </c>
      <c r="B69" s="1" t="n">
        <v>44774</v>
      </c>
      <c r="C69" s="1" t="n">
        <v>45209</v>
      </c>
      <c r="D69" t="inlineStr">
        <is>
          <t>GÄVLEBORGS LÄN</t>
        </is>
      </c>
      <c r="E69" t="inlineStr">
        <is>
          <t>LJUSDAL</t>
        </is>
      </c>
      <c r="F69" t="inlineStr">
        <is>
          <t>SCA</t>
        </is>
      </c>
      <c r="G69" t="n">
        <v>4.3</v>
      </c>
      <c r="H69" t="n">
        <v>2</v>
      </c>
      <c r="I69" t="n">
        <v>0</v>
      </c>
      <c r="J69" t="n">
        <v>4</v>
      </c>
      <c r="K69" t="n">
        <v>1</v>
      </c>
      <c r="L69" t="n">
        <v>0</v>
      </c>
      <c r="M69" t="n">
        <v>0</v>
      </c>
      <c r="N69" t="n">
        <v>0</v>
      </c>
      <c r="O69" t="n">
        <v>5</v>
      </c>
      <c r="P69" t="n">
        <v>1</v>
      </c>
      <c r="Q69" t="n">
        <v>5</v>
      </c>
      <c r="R69" s="2" t="inlineStr">
        <is>
          <t>Knärot
Garnlav
Kolflarnlav
Lunglav
Tretåig hackspett</t>
        </is>
      </c>
      <c r="S69">
        <f>HYPERLINK("https://klasma.github.io/Logging_2161/artfynd/A 31463-2022.xlsx", "A 31463-2022")</f>
        <v/>
      </c>
      <c r="T69">
        <f>HYPERLINK("https://klasma.github.io/Logging_2161/kartor/A 31463-2022.png", "A 31463-2022")</f>
        <v/>
      </c>
      <c r="U69">
        <f>HYPERLINK("https://klasma.github.io/Logging_2161/knärot/A 31463-2022.png", "A 31463-2022")</f>
        <v/>
      </c>
      <c r="V69">
        <f>HYPERLINK("https://klasma.github.io/Logging_2161/klagomål/A 31463-2022.docx", "A 31463-2022")</f>
        <v/>
      </c>
      <c r="W69">
        <f>HYPERLINK("https://klasma.github.io/Logging_2161/klagomålsmail/A 31463-2022.docx", "A 31463-2022")</f>
        <v/>
      </c>
      <c r="X69">
        <f>HYPERLINK("https://klasma.github.io/Logging_2161/tillsyn/A 31463-2022.docx", "A 31463-2022")</f>
        <v/>
      </c>
      <c r="Y69">
        <f>HYPERLINK("https://klasma.github.io/Logging_2161/tillsynsmail/A 31463-2022.docx", "A 31463-2022")</f>
        <v/>
      </c>
    </row>
    <row r="70" ht="15" customHeight="1">
      <c r="A70" t="inlineStr">
        <is>
          <t>A 31524-2022</t>
        </is>
      </c>
      <c r="B70" s="1" t="n">
        <v>44775</v>
      </c>
      <c r="C70" s="1" t="n">
        <v>45209</v>
      </c>
      <c r="D70" t="inlineStr">
        <is>
          <t>GÄVLEBORGS LÄN</t>
        </is>
      </c>
      <c r="E70" t="inlineStr">
        <is>
          <t>LJUSDAL</t>
        </is>
      </c>
      <c r="F70" t="inlineStr">
        <is>
          <t>Sveaskog</t>
        </is>
      </c>
      <c r="G70" t="n">
        <v>38.6</v>
      </c>
      <c r="H70" t="n">
        <v>2</v>
      </c>
      <c r="I70" t="n">
        <v>2</v>
      </c>
      <c r="J70" t="n">
        <v>2</v>
      </c>
      <c r="K70" t="n">
        <v>0</v>
      </c>
      <c r="L70" t="n">
        <v>0</v>
      </c>
      <c r="M70" t="n">
        <v>0</v>
      </c>
      <c r="N70" t="n">
        <v>0</v>
      </c>
      <c r="O70" t="n">
        <v>2</v>
      </c>
      <c r="P70" t="n">
        <v>0</v>
      </c>
      <c r="Q70" t="n">
        <v>5</v>
      </c>
      <c r="R70" s="2" t="inlineStr">
        <is>
          <t>Garnlav
Gränsticka
Korallrot
Källmossa
Fläcknycklar</t>
        </is>
      </c>
      <c r="S70">
        <f>HYPERLINK("https://klasma.github.io/Logging_2161/artfynd/A 31524-2022.xlsx", "A 31524-2022")</f>
        <v/>
      </c>
      <c r="T70">
        <f>HYPERLINK("https://klasma.github.io/Logging_2161/kartor/A 31524-2022.png", "A 31524-2022")</f>
        <v/>
      </c>
      <c r="V70">
        <f>HYPERLINK("https://klasma.github.io/Logging_2161/klagomål/A 31524-2022.docx", "A 31524-2022")</f>
        <v/>
      </c>
      <c r="W70">
        <f>HYPERLINK("https://klasma.github.io/Logging_2161/klagomålsmail/A 31524-2022.docx", "A 31524-2022")</f>
        <v/>
      </c>
      <c r="X70">
        <f>HYPERLINK("https://klasma.github.io/Logging_2161/tillsyn/A 31524-2022.docx", "A 31524-2022")</f>
        <v/>
      </c>
      <c r="Y70">
        <f>HYPERLINK("https://klasma.github.io/Logging_2161/tillsynsmail/A 31524-2022.docx", "A 31524-2022")</f>
        <v/>
      </c>
    </row>
    <row r="71" ht="15" customHeight="1">
      <c r="A71" t="inlineStr">
        <is>
          <t>A 33633-2022</t>
        </is>
      </c>
      <c r="B71" s="1" t="n">
        <v>44789</v>
      </c>
      <c r="C71" s="1" t="n">
        <v>45209</v>
      </c>
      <c r="D71" t="inlineStr">
        <is>
          <t>GÄVLEBORGS LÄN</t>
        </is>
      </c>
      <c r="E71" t="inlineStr">
        <is>
          <t>HUDIKSVALL</t>
        </is>
      </c>
      <c r="F71" t="inlineStr">
        <is>
          <t>Holmen skog AB</t>
        </is>
      </c>
      <c r="G71" t="n">
        <v>3.7</v>
      </c>
      <c r="H71" t="n">
        <v>1</v>
      </c>
      <c r="I71" t="n">
        <v>3</v>
      </c>
      <c r="J71" t="n">
        <v>2</v>
      </c>
      <c r="K71" t="n">
        <v>0</v>
      </c>
      <c r="L71" t="n">
        <v>0</v>
      </c>
      <c r="M71" t="n">
        <v>0</v>
      </c>
      <c r="N71" t="n">
        <v>0</v>
      </c>
      <c r="O71" t="n">
        <v>2</v>
      </c>
      <c r="P71" t="n">
        <v>0</v>
      </c>
      <c r="Q71" t="n">
        <v>5</v>
      </c>
      <c r="R71" s="2" t="inlineStr">
        <is>
          <t>Svartvit taggsvamp
Vedtrappmossa
Grön sköldmossa
Mörk husmossa
Svavelriska</t>
        </is>
      </c>
      <c r="S71">
        <f>HYPERLINK("https://klasma.github.io/Logging_2184/artfynd/A 33633-2022.xlsx", "A 33633-2022")</f>
        <v/>
      </c>
      <c r="T71">
        <f>HYPERLINK("https://klasma.github.io/Logging_2184/kartor/A 33633-2022.png", "A 33633-2022")</f>
        <v/>
      </c>
      <c r="V71">
        <f>HYPERLINK("https://klasma.github.io/Logging_2184/klagomål/A 33633-2022.docx", "A 33633-2022")</f>
        <v/>
      </c>
      <c r="W71">
        <f>HYPERLINK("https://klasma.github.io/Logging_2184/klagomålsmail/A 33633-2022.docx", "A 33633-2022")</f>
        <v/>
      </c>
      <c r="X71">
        <f>HYPERLINK("https://klasma.github.io/Logging_2184/tillsyn/A 33633-2022.docx", "A 33633-2022")</f>
        <v/>
      </c>
      <c r="Y71">
        <f>HYPERLINK("https://klasma.github.io/Logging_2184/tillsynsmail/A 33633-2022.docx", "A 33633-2022")</f>
        <v/>
      </c>
    </row>
    <row r="72" ht="15" customHeight="1">
      <c r="A72" t="inlineStr">
        <is>
          <t>A 45278-2022</t>
        </is>
      </c>
      <c r="B72" s="1" t="n">
        <v>44840</v>
      </c>
      <c r="C72" s="1" t="n">
        <v>45209</v>
      </c>
      <c r="D72" t="inlineStr">
        <is>
          <t>GÄVLEBORGS LÄN</t>
        </is>
      </c>
      <c r="E72" t="inlineStr">
        <is>
          <t>GÄVLE</t>
        </is>
      </c>
      <c r="F72" t="inlineStr">
        <is>
          <t>Bergvik skog väst AB</t>
        </is>
      </c>
      <c r="G72" t="n">
        <v>8.5</v>
      </c>
      <c r="H72" t="n">
        <v>1</v>
      </c>
      <c r="I72" t="n">
        <v>4</v>
      </c>
      <c r="J72" t="n">
        <v>0</v>
      </c>
      <c r="K72" t="n">
        <v>0</v>
      </c>
      <c r="L72" t="n">
        <v>0</v>
      </c>
      <c r="M72" t="n">
        <v>0</v>
      </c>
      <c r="N72" t="n">
        <v>0</v>
      </c>
      <c r="O72" t="n">
        <v>0</v>
      </c>
      <c r="P72" t="n">
        <v>0</v>
      </c>
      <c r="Q72" t="n">
        <v>5</v>
      </c>
      <c r="R72" s="2" t="inlineStr">
        <is>
          <t>Grönpyrola
Svart trolldruva
Underviol
Vårärt
Blåsippa</t>
        </is>
      </c>
      <c r="S72">
        <f>HYPERLINK("https://klasma.github.io/Logging_2180/artfynd/A 45278-2022.xlsx", "A 45278-2022")</f>
        <v/>
      </c>
      <c r="T72">
        <f>HYPERLINK("https://klasma.github.io/Logging_2180/kartor/A 45278-2022.png", "A 45278-2022")</f>
        <v/>
      </c>
      <c r="V72">
        <f>HYPERLINK("https://klasma.github.io/Logging_2180/klagomål/A 45278-2022.docx", "A 45278-2022")</f>
        <v/>
      </c>
      <c r="W72">
        <f>HYPERLINK("https://klasma.github.io/Logging_2180/klagomålsmail/A 45278-2022.docx", "A 45278-2022")</f>
        <v/>
      </c>
      <c r="X72">
        <f>HYPERLINK("https://klasma.github.io/Logging_2180/tillsyn/A 45278-2022.docx", "A 45278-2022")</f>
        <v/>
      </c>
      <c r="Y72">
        <f>HYPERLINK("https://klasma.github.io/Logging_2180/tillsynsmail/A 45278-2022.docx", "A 45278-2022")</f>
        <v/>
      </c>
    </row>
    <row r="73" ht="15" customHeight="1">
      <c r="A73" t="inlineStr">
        <is>
          <t>A 55280-2022</t>
        </is>
      </c>
      <c r="B73" s="1" t="n">
        <v>44887</v>
      </c>
      <c r="C73" s="1" t="n">
        <v>45209</v>
      </c>
      <c r="D73" t="inlineStr">
        <is>
          <t>GÄVLEBORGS LÄN</t>
        </is>
      </c>
      <c r="E73" t="inlineStr">
        <is>
          <t>HUDIKSVALL</t>
        </is>
      </c>
      <c r="F73" t="inlineStr">
        <is>
          <t>Holmen skog AB</t>
        </is>
      </c>
      <c r="G73" t="n">
        <v>3.3</v>
      </c>
      <c r="H73" t="n">
        <v>0</v>
      </c>
      <c r="I73" t="n">
        <v>1</v>
      </c>
      <c r="J73" t="n">
        <v>4</v>
      </c>
      <c r="K73" t="n">
        <v>0</v>
      </c>
      <c r="L73" t="n">
        <v>0</v>
      </c>
      <c r="M73" t="n">
        <v>0</v>
      </c>
      <c r="N73" t="n">
        <v>0</v>
      </c>
      <c r="O73" t="n">
        <v>4</v>
      </c>
      <c r="P73" t="n">
        <v>0</v>
      </c>
      <c r="Q73" t="n">
        <v>5</v>
      </c>
      <c r="R73" s="2" t="inlineStr">
        <is>
          <t>Granticka
Ullticka
Veckticka
Vedtrappmossa
Korallblylav</t>
        </is>
      </c>
      <c r="S73">
        <f>HYPERLINK("https://klasma.github.io/Logging_2184/artfynd/A 55280-2022.xlsx", "A 55280-2022")</f>
        <v/>
      </c>
      <c r="T73">
        <f>HYPERLINK("https://klasma.github.io/Logging_2184/kartor/A 55280-2022.png", "A 55280-2022")</f>
        <v/>
      </c>
      <c r="V73">
        <f>HYPERLINK("https://klasma.github.io/Logging_2184/klagomål/A 55280-2022.docx", "A 55280-2022")</f>
        <v/>
      </c>
      <c r="W73">
        <f>HYPERLINK("https://klasma.github.io/Logging_2184/klagomålsmail/A 55280-2022.docx", "A 55280-2022")</f>
        <v/>
      </c>
      <c r="X73">
        <f>HYPERLINK("https://klasma.github.io/Logging_2184/tillsyn/A 55280-2022.docx", "A 55280-2022")</f>
        <v/>
      </c>
      <c r="Y73">
        <f>HYPERLINK("https://klasma.github.io/Logging_2184/tillsynsmail/A 55280-2022.docx", "A 55280-2022")</f>
        <v/>
      </c>
    </row>
    <row r="74" ht="15" customHeight="1">
      <c r="A74" t="inlineStr">
        <is>
          <t>A 58628-2022</t>
        </is>
      </c>
      <c r="B74" s="1" t="n">
        <v>44902</v>
      </c>
      <c r="C74" s="1" t="n">
        <v>45209</v>
      </c>
      <c r="D74" t="inlineStr">
        <is>
          <t>GÄVLEBORGS LÄN</t>
        </is>
      </c>
      <c r="E74" t="inlineStr">
        <is>
          <t>LJUSDAL</t>
        </is>
      </c>
      <c r="G74" t="n">
        <v>2.6</v>
      </c>
      <c r="H74" t="n">
        <v>2</v>
      </c>
      <c r="I74" t="n">
        <v>2</v>
      </c>
      <c r="J74" t="n">
        <v>2</v>
      </c>
      <c r="K74" t="n">
        <v>1</v>
      </c>
      <c r="L74" t="n">
        <v>0</v>
      </c>
      <c r="M74" t="n">
        <v>0</v>
      </c>
      <c r="N74" t="n">
        <v>0</v>
      </c>
      <c r="O74" t="n">
        <v>3</v>
      </c>
      <c r="P74" t="n">
        <v>1</v>
      </c>
      <c r="Q74" t="n">
        <v>5</v>
      </c>
      <c r="R74" s="2" t="inlineStr">
        <is>
          <t>Knärot
Tretåig hackspett
Ullticka
Skinnlav
Stuplav</t>
        </is>
      </c>
      <c r="S74">
        <f>HYPERLINK("https://klasma.github.io/Logging_2161/artfynd/A 58628-2022.xlsx", "A 58628-2022")</f>
        <v/>
      </c>
      <c r="T74">
        <f>HYPERLINK("https://klasma.github.io/Logging_2161/kartor/A 58628-2022.png", "A 58628-2022")</f>
        <v/>
      </c>
      <c r="U74">
        <f>HYPERLINK("https://klasma.github.io/Logging_2161/knärot/A 58628-2022.png", "A 58628-2022")</f>
        <v/>
      </c>
      <c r="V74">
        <f>HYPERLINK("https://klasma.github.io/Logging_2161/klagomål/A 58628-2022.docx", "A 58628-2022")</f>
        <v/>
      </c>
      <c r="W74">
        <f>HYPERLINK("https://klasma.github.io/Logging_2161/klagomålsmail/A 58628-2022.docx", "A 58628-2022")</f>
        <v/>
      </c>
      <c r="X74">
        <f>HYPERLINK("https://klasma.github.io/Logging_2161/tillsyn/A 58628-2022.docx", "A 58628-2022")</f>
        <v/>
      </c>
      <c r="Y74">
        <f>HYPERLINK("https://klasma.github.io/Logging_2161/tillsynsmail/A 58628-2022.docx", "A 58628-2022")</f>
        <v/>
      </c>
    </row>
    <row r="75" ht="15" customHeight="1">
      <c r="A75" t="inlineStr">
        <is>
          <t>A 11990-2023</t>
        </is>
      </c>
      <c r="B75" s="1" t="n">
        <v>44995</v>
      </c>
      <c r="C75" s="1" t="n">
        <v>45209</v>
      </c>
      <c r="D75" t="inlineStr">
        <is>
          <t>GÄVLEBORGS LÄN</t>
        </is>
      </c>
      <c r="E75" t="inlineStr">
        <is>
          <t>SANDVIKEN</t>
        </is>
      </c>
      <c r="G75" t="n">
        <v>1.3</v>
      </c>
      <c r="H75" t="n">
        <v>0</v>
      </c>
      <c r="I75" t="n">
        <v>5</v>
      </c>
      <c r="J75" t="n">
        <v>0</v>
      </c>
      <c r="K75" t="n">
        <v>0</v>
      </c>
      <c r="L75" t="n">
        <v>0</v>
      </c>
      <c r="M75" t="n">
        <v>0</v>
      </c>
      <c r="N75" t="n">
        <v>0</v>
      </c>
      <c r="O75" t="n">
        <v>0</v>
      </c>
      <c r="P75" t="n">
        <v>0</v>
      </c>
      <c r="Q75" t="n">
        <v>5</v>
      </c>
      <c r="R75" s="2" t="inlineStr">
        <is>
          <t>Aspvedgnagare
Bronshjon
Thomsons trägnagare
Vedticka
Vågbandad barkbock</t>
        </is>
      </c>
      <c r="S75">
        <f>HYPERLINK("https://klasma.github.io/Logging_2181/artfynd/A 11990-2023.xlsx", "A 11990-2023")</f>
        <v/>
      </c>
      <c r="T75">
        <f>HYPERLINK("https://klasma.github.io/Logging_2181/kartor/A 11990-2023.png", "A 11990-2023")</f>
        <v/>
      </c>
      <c r="V75">
        <f>HYPERLINK("https://klasma.github.io/Logging_2181/klagomål/A 11990-2023.docx", "A 11990-2023")</f>
        <v/>
      </c>
      <c r="W75">
        <f>HYPERLINK("https://klasma.github.io/Logging_2181/klagomålsmail/A 11990-2023.docx", "A 11990-2023")</f>
        <v/>
      </c>
      <c r="X75">
        <f>HYPERLINK("https://klasma.github.io/Logging_2181/tillsyn/A 11990-2023.docx", "A 11990-2023")</f>
        <v/>
      </c>
      <c r="Y75">
        <f>HYPERLINK("https://klasma.github.io/Logging_2181/tillsynsmail/A 11990-2023.docx", "A 11990-2023")</f>
        <v/>
      </c>
    </row>
    <row r="76" ht="15" customHeight="1">
      <c r="A76" t="inlineStr">
        <is>
          <t>A 13740-2023</t>
        </is>
      </c>
      <c r="B76" s="1" t="n">
        <v>45007</v>
      </c>
      <c r="C76" s="1" t="n">
        <v>45209</v>
      </c>
      <c r="D76" t="inlineStr">
        <is>
          <t>GÄVLEBORGS LÄN</t>
        </is>
      </c>
      <c r="E76" t="inlineStr">
        <is>
          <t>HOFORS</t>
        </is>
      </c>
      <c r="F76" t="inlineStr">
        <is>
          <t>Övriga statliga verk och myndigheter</t>
        </is>
      </c>
      <c r="G76" t="n">
        <v>2.7</v>
      </c>
      <c r="H76" t="n">
        <v>2</v>
      </c>
      <c r="I76" t="n">
        <v>1</v>
      </c>
      <c r="J76" t="n">
        <v>3</v>
      </c>
      <c r="K76" t="n">
        <v>1</v>
      </c>
      <c r="L76" t="n">
        <v>0</v>
      </c>
      <c r="M76" t="n">
        <v>0</v>
      </c>
      <c r="N76" t="n">
        <v>0</v>
      </c>
      <c r="O76" t="n">
        <v>4</v>
      </c>
      <c r="P76" t="n">
        <v>1</v>
      </c>
      <c r="Q76" t="n">
        <v>5</v>
      </c>
      <c r="R76" s="2" t="inlineStr">
        <is>
          <t>Knärot
Garnlav
Spillkråka
Ullticka
Vedticka</t>
        </is>
      </c>
      <c r="S76">
        <f>HYPERLINK("https://klasma.github.io/Logging_2104/artfynd/A 13740-2023.xlsx", "A 13740-2023")</f>
        <v/>
      </c>
      <c r="T76">
        <f>HYPERLINK("https://klasma.github.io/Logging_2104/kartor/A 13740-2023.png", "A 13740-2023")</f>
        <v/>
      </c>
      <c r="U76">
        <f>HYPERLINK("https://klasma.github.io/Logging_2104/knärot/A 13740-2023.png", "A 13740-2023")</f>
        <v/>
      </c>
      <c r="V76">
        <f>HYPERLINK("https://klasma.github.io/Logging_2104/klagomål/A 13740-2023.docx", "A 13740-2023")</f>
        <v/>
      </c>
      <c r="W76">
        <f>HYPERLINK("https://klasma.github.io/Logging_2104/klagomålsmail/A 13740-2023.docx", "A 13740-2023")</f>
        <v/>
      </c>
      <c r="X76">
        <f>HYPERLINK("https://klasma.github.io/Logging_2104/tillsyn/A 13740-2023.docx", "A 13740-2023")</f>
        <v/>
      </c>
      <c r="Y76">
        <f>HYPERLINK("https://klasma.github.io/Logging_2104/tillsynsmail/A 13740-2023.docx", "A 13740-2023")</f>
        <v/>
      </c>
    </row>
    <row r="77" ht="15" customHeight="1">
      <c r="A77" t="inlineStr">
        <is>
          <t>A 13750-2023</t>
        </is>
      </c>
      <c r="B77" s="1" t="n">
        <v>45007</v>
      </c>
      <c r="C77" s="1" t="n">
        <v>45209</v>
      </c>
      <c r="D77" t="inlineStr">
        <is>
          <t>GÄVLEBORGS LÄN</t>
        </is>
      </c>
      <c r="E77" t="inlineStr">
        <is>
          <t>HOFORS</t>
        </is>
      </c>
      <c r="F77" t="inlineStr">
        <is>
          <t>Övriga statliga verk och myndigheter</t>
        </is>
      </c>
      <c r="G77" t="n">
        <v>1.1</v>
      </c>
      <c r="H77" t="n">
        <v>1</v>
      </c>
      <c r="I77" t="n">
        <v>2</v>
      </c>
      <c r="J77" t="n">
        <v>3</v>
      </c>
      <c r="K77" t="n">
        <v>0</v>
      </c>
      <c r="L77" t="n">
        <v>0</v>
      </c>
      <c r="M77" t="n">
        <v>0</v>
      </c>
      <c r="N77" t="n">
        <v>0</v>
      </c>
      <c r="O77" t="n">
        <v>3</v>
      </c>
      <c r="P77" t="n">
        <v>0</v>
      </c>
      <c r="Q77" t="n">
        <v>5</v>
      </c>
      <c r="R77" s="2" t="inlineStr">
        <is>
          <t>Gultoppig fingersvamp
Leptoporus mollis
Talltita
Fjällig taggsvamp s.str.
Vedticka</t>
        </is>
      </c>
      <c r="S77">
        <f>HYPERLINK("https://klasma.github.io/Logging_2104/artfynd/A 13750-2023.xlsx", "A 13750-2023")</f>
        <v/>
      </c>
      <c r="T77">
        <f>HYPERLINK("https://klasma.github.io/Logging_2104/kartor/A 13750-2023.png", "A 13750-2023")</f>
        <v/>
      </c>
      <c r="V77">
        <f>HYPERLINK("https://klasma.github.io/Logging_2104/klagomål/A 13750-2023.docx", "A 13750-2023")</f>
        <v/>
      </c>
      <c r="W77">
        <f>HYPERLINK("https://klasma.github.io/Logging_2104/klagomålsmail/A 13750-2023.docx", "A 13750-2023")</f>
        <v/>
      </c>
      <c r="X77">
        <f>HYPERLINK("https://klasma.github.io/Logging_2104/tillsyn/A 13750-2023.docx", "A 13750-2023")</f>
        <v/>
      </c>
      <c r="Y77">
        <f>HYPERLINK("https://klasma.github.io/Logging_2104/tillsynsmail/A 13750-2023.docx", "A 13750-2023")</f>
        <v/>
      </c>
    </row>
    <row r="78" ht="15" customHeight="1">
      <c r="A78" t="inlineStr">
        <is>
          <t>A 25585-2023</t>
        </is>
      </c>
      <c r="B78" s="1" t="n">
        <v>45089</v>
      </c>
      <c r="C78" s="1" t="n">
        <v>45209</v>
      </c>
      <c r="D78" t="inlineStr">
        <is>
          <t>GÄVLEBORGS LÄN</t>
        </is>
      </c>
      <c r="E78" t="inlineStr">
        <is>
          <t>LJUSDAL</t>
        </is>
      </c>
      <c r="G78" t="n">
        <v>6</v>
      </c>
      <c r="H78" t="n">
        <v>3</v>
      </c>
      <c r="I78" t="n">
        <v>0</v>
      </c>
      <c r="J78" t="n">
        <v>4</v>
      </c>
      <c r="K78" t="n">
        <v>1</v>
      </c>
      <c r="L78" t="n">
        <v>0</v>
      </c>
      <c r="M78" t="n">
        <v>0</v>
      </c>
      <c r="N78" t="n">
        <v>0</v>
      </c>
      <c r="O78" t="n">
        <v>5</v>
      </c>
      <c r="P78" t="n">
        <v>1</v>
      </c>
      <c r="Q78" t="n">
        <v>5</v>
      </c>
      <c r="R78" s="2" t="inlineStr">
        <is>
          <t>Knärot
Granticka
Skogshare
Spillkråka
Tretåig hackspett</t>
        </is>
      </c>
      <c r="S78">
        <f>HYPERLINK("https://klasma.github.io/Logging_2161/artfynd/A 25585-2023.xlsx", "A 25585-2023")</f>
        <v/>
      </c>
      <c r="T78">
        <f>HYPERLINK("https://klasma.github.io/Logging_2161/kartor/A 25585-2023.png", "A 25585-2023")</f>
        <v/>
      </c>
      <c r="U78">
        <f>HYPERLINK("https://klasma.github.io/Logging_2161/knärot/A 25585-2023.png", "A 25585-2023")</f>
        <v/>
      </c>
      <c r="V78">
        <f>HYPERLINK("https://klasma.github.io/Logging_2161/klagomål/A 25585-2023.docx", "A 25585-2023")</f>
        <v/>
      </c>
      <c r="W78">
        <f>HYPERLINK("https://klasma.github.io/Logging_2161/klagomålsmail/A 25585-2023.docx", "A 25585-2023")</f>
        <v/>
      </c>
      <c r="X78">
        <f>HYPERLINK("https://klasma.github.io/Logging_2161/tillsyn/A 25585-2023.docx", "A 25585-2023")</f>
        <v/>
      </c>
      <c r="Y78">
        <f>HYPERLINK("https://klasma.github.io/Logging_2161/tillsynsmail/A 25585-2023.docx", "A 25585-2023")</f>
        <v/>
      </c>
    </row>
    <row r="79" ht="15" customHeight="1">
      <c r="A79" t="inlineStr">
        <is>
          <t>A 25953-2023</t>
        </is>
      </c>
      <c r="B79" s="1" t="n">
        <v>45090</v>
      </c>
      <c r="C79" s="1" t="n">
        <v>45209</v>
      </c>
      <c r="D79" t="inlineStr">
        <is>
          <t>GÄVLEBORGS LÄN</t>
        </is>
      </c>
      <c r="E79" t="inlineStr">
        <is>
          <t>LJUSDAL</t>
        </is>
      </c>
      <c r="G79" t="n">
        <v>1.9</v>
      </c>
      <c r="H79" t="n">
        <v>3</v>
      </c>
      <c r="I79" t="n">
        <v>0</v>
      </c>
      <c r="J79" t="n">
        <v>4</v>
      </c>
      <c r="K79" t="n">
        <v>1</v>
      </c>
      <c r="L79" t="n">
        <v>0</v>
      </c>
      <c r="M79" t="n">
        <v>0</v>
      </c>
      <c r="N79" t="n">
        <v>0</v>
      </c>
      <c r="O79" t="n">
        <v>5</v>
      </c>
      <c r="P79" t="n">
        <v>1</v>
      </c>
      <c r="Q79" t="n">
        <v>5</v>
      </c>
      <c r="R79" s="2" t="inlineStr">
        <is>
          <t>Knärot
Rosenticka
Talltita
Tretåig hackspett
Ullticka</t>
        </is>
      </c>
      <c r="S79">
        <f>HYPERLINK("https://klasma.github.io/Logging_2161/artfynd/A 25953-2023.xlsx", "A 25953-2023")</f>
        <v/>
      </c>
      <c r="T79">
        <f>HYPERLINK("https://klasma.github.io/Logging_2161/kartor/A 25953-2023.png", "A 25953-2023")</f>
        <v/>
      </c>
      <c r="U79">
        <f>HYPERLINK("https://klasma.github.io/Logging_2161/knärot/A 25953-2023.png", "A 25953-2023")</f>
        <v/>
      </c>
      <c r="V79">
        <f>HYPERLINK("https://klasma.github.io/Logging_2161/klagomål/A 25953-2023.docx", "A 25953-2023")</f>
        <v/>
      </c>
      <c r="W79">
        <f>HYPERLINK("https://klasma.github.io/Logging_2161/klagomålsmail/A 25953-2023.docx", "A 25953-2023")</f>
        <v/>
      </c>
      <c r="X79">
        <f>HYPERLINK("https://klasma.github.io/Logging_2161/tillsyn/A 25953-2023.docx", "A 25953-2023")</f>
        <v/>
      </c>
      <c r="Y79">
        <f>HYPERLINK("https://klasma.github.io/Logging_2161/tillsynsmail/A 25953-2023.docx", "A 25953-2023")</f>
        <v/>
      </c>
    </row>
    <row r="80" ht="15" customHeight="1">
      <c r="A80" t="inlineStr">
        <is>
          <t>A 46239-2018</t>
        </is>
      </c>
      <c r="B80" s="1" t="n">
        <v>43367</v>
      </c>
      <c r="C80" s="1" t="n">
        <v>45209</v>
      </c>
      <c r="D80" t="inlineStr">
        <is>
          <t>GÄVLEBORGS LÄN</t>
        </is>
      </c>
      <c r="E80" t="inlineStr">
        <is>
          <t>LJUSDAL</t>
        </is>
      </c>
      <c r="G80" t="n">
        <v>113.5</v>
      </c>
      <c r="H80" t="n">
        <v>3</v>
      </c>
      <c r="I80" t="n">
        <v>0</v>
      </c>
      <c r="J80" t="n">
        <v>2</v>
      </c>
      <c r="K80" t="n">
        <v>0</v>
      </c>
      <c r="L80" t="n">
        <v>0</v>
      </c>
      <c r="M80" t="n">
        <v>1</v>
      </c>
      <c r="N80" t="n">
        <v>0</v>
      </c>
      <c r="O80" t="n">
        <v>3</v>
      </c>
      <c r="P80" t="n">
        <v>1</v>
      </c>
      <c r="Q80" t="n">
        <v>4</v>
      </c>
      <c r="R80" s="2" t="inlineStr">
        <is>
          <t>Ortolansparv
Buskskvätta
Slåtterfibbla
Nattviol</t>
        </is>
      </c>
      <c r="S80">
        <f>HYPERLINK("https://klasma.github.io/Logging_2161/artfynd/A 46239-2018.xlsx", "A 46239-2018")</f>
        <v/>
      </c>
      <c r="T80">
        <f>HYPERLINK("https://klasma.github.io/Logging_2161/kartor/A 46239-2018.png", "A 46239-2018")</f>
        <v/>
      </c>
      <c r="V80">
        <f>HYPERLINK("https://klasma.github.io/Logging_2161/klagomål/A 46239-2018.docx", "A 46239-2018")</f>
        <v/>
      </c>
      <c r="W80">
        <f>HYPERLINK("https://klasma.github.io/Logging_2161/klagomålsmail/A 46239-2018.docx", "A 46239-2018")</f>
        <v/>
      </c>
      <c r="X80">
        <f>HYPERLINK("https://klasma.github.io/Logging_2161/tillsyn/A 46239-2018.docx", "A 46239-2018")</f>
        <v/>
      </c>
      <c r="Y80">
        <f>HYPERLINK("https://klasma.github.io/Logging_2161/tillsynsmail/A 46239-2018.docx", "A 46239-2018")</f>
        <v/>
      </c>
    </row>
    <row r="81" ht="15" customHeight="1">
      <c r="A81" t="inlineStr">
        <is>
          <t>A 57120-2018</t>
        </is>
      </c>
      <c r="B81" s="1" t="n">
        <v>43403</v>
      </c>
      <c r="C81" s="1" t="n">
        <v>45209</v>
      </c>
      <c r="D81" t="inlineStr">
        <is>
          <t>GÄVLEBORGS LÄN</t>
        </is>
      </c>
      <c r="E81" t="inlineStr">
        <is>
          <t>HUDIKSVALL</t>
        </is>
      </c>
      <c r="F81" t="inlineStr">
        <is>
          <t>Holmen skog AB</t>
        </is>
      </c>
      <c r="G81" t="n">
        <v>6.8</v>
      </c>
      <c r="H81" t="n">
        <v>1</v>
      </c>
      <c r="I81" t="n">
        <v>0</v>
      </c>
      <c r="J81" t="n">
        <v>4</v>
      </c>
      <c r="K81" t="n">
        <v>0</v>
      </c>
      <c r="L81" t="n">
        <v>0</v>
      </c>
      <c r="M81" t="n">
        <v>0</v>
      </c>
      <c r="N81" t="n">
        <v>0</v>
      </c>
      <c r="O81" t="n">
        <v>4</v>
      </c>
      <c r="P81" t="n">
        <v>0</v>
      </c>
      <c r="Q81" t="n">
        <v>4</v>
      </c>
      <c r="R81" s="2" t="inlineStr">
        <is>
          <t>Kortskaftad ärgspik
Tallticka
Tretåig hackspett
Ullticka</t>
        </is>
      </c>
      <c r="S81">
        <f>HYPERLINK("https://klasma.github.io/Logging_2184/artfynd/A 57120-2018.xlsx", "A 57120-2018")</f>
        <v/>
      </c>
      <c r="T81">
        <f>HYPERLINK("https://klasma.github.io/Logging_2184/kartor/A 57120-2018.png", "A 57120-2018")</f>
        <v/>
      </c>
      <c r="V81">
        <f>HYPERLINK("https://klasma.github.io/Logging_2184/klagomål/A 57120-2018.docx", "A 57120-2018")</f>
        <v/>
      </c>
      <c r="W81">
        <f>HYPERLINK("https://klasma.github.io/Logging_2184/klagomålsmail/A 57120-2018.docx", "A 57120-2018")</f>
        <v/>
      </c>
      <c r="X81">
        <f>HYPERLINK("https://klasma.github.io/Logging_2184/tillsyn/A 57120-2018.docx", "A 57120-2018")</f>
        <v/>
      </c>
      <c r="Y81">
        <f>HYPERLINK("https://klasma.github.io/Logging_2184/tillsynsmail/A 57120-2018.docx", "A 57120-2018")</f>
        <v/>
      </c>
    </row>
    <row r="82" ht="15" customHeight="1">
      <c r="A82" t="inlineStr">
        <is>
          <t>A 67528-2018</t>
        </is>
      </c>
      <c r="B82" s="1" t="n">
        <v>43432</v>
      </c>
      <c r="C82" s="1" t="n">
        <v>45209</v>
      </c>
      <c r="D82" t="inlineStr">
        <is>
          <t>GÄVLEBORGS LÄN</t>
        </is>
      </c>
      <c r="E82" t="inlineStr">
        <is>
          <t>LJUSDAL</t>
        </is>
      </c>
      <c r="F82" t="inlineStr">
        <is>
          <t>Sveaskog</t>
        </is>
      </c>
      <c r="G82" t="n">
        <v>509.1</v>
      </c>
      <c r="H82" t="n">
        <v>1</v>
      </c>
      <c r="I82" t="n">
        <v>1</v>
      </c>
      <c r="J82" t="n">
        <v>2</v>
      </c>
      <c r="K82" t="n">
        <v>0</v>
      </c>
      <c r="L82" t="n">
        <v>0</v>
      </c>
      <c r="M82" t="n">
        <v>1</v>
      </c>
      <c r="N82" t="n">
        <v>0</v>
      </c>
      <c r="O82" t="n">
        <v>3</v>
      </c>
      <c r="P82" t="n">
        <v>1</v>
      </c>
      <c r="Q82" t="n">
        <v>4</v>
      </c>
      <c r="R82" s="2" t="inlineStr">
        <is>
          <t>Ortolansparv
Brunag
Svedjenäva
Tibast</t>
        </is>
      </c>
      <c r="S82">
        <f>HYPERLINK("https://klasma.github.io/Logging_2161/artfynd/A 67528-2018.xlsx", "A 67528-2018")</f>
        <v/>
      </c>
      <c r="T82">
        <f>HYPERLINK("https://klasma.github.io/Logging_2161/kartor/A 67528-2018.png", "A 67528-2018")</f>
        <v/>
      </c>
      <c r="V82">
        <f>HYPERLINK("https://klasma.github.io/Logging_2161/klagomål/A 67528-2018.docx", "A 67528-2018")</f>
        <v/>
      </c>
      <c r="W82">
        <f>HYPERLINK("https://klasma.github.io/Logging_2161/klagomålsmail/A 67528-2018.docx", "A 67528-2018")</f>
        <v/>
      </c>
      <c r="X82">
        <f>HYPERLINK("https://klasma.github.io/Logging_2161/tillsyn/A 67528-2018.docx", "A 67528-2018")</f>
        <v/>
      </c>
      <c r="Y82">
        <f>HYPERLINK("https://klasma.github.io/Logging_2161/tillsynsmail/A 67528-2018.docx", "A 67528-2018")</f>
        <v/>
      </c>
    </row>
    <row r="83" ht="15" customHeight="1">
      <c r="A83" t="inlineStr">
        <is>
          <t>A 55426-2019</t>
        </is>
      </c>
      <c r="B83" s="1" t="n">
        <v>43756</v>
      </c>
      <c r="C83" s="1" t="n">
        <v>45209</v>
      </c>
      <c r="D83" t="inlineStr">
        <is>
          <t>GÄVLEBORGS LÄN</t>
        </is>
      </c>
      <c r="E83" t="inlineStr">
        <is>
          <t>SÖDERHAMN</t>
        </is>
      </c>
      <c r="G83" t="n">
        <v>2</v>
      </c>
      <c r="H83" t="n">
        <v>4</v>
      </c>
      <c r="I83" t="n">
        <v>0</v>
      </c>
      <c r="J83" t="n">
        <v>3</v>
      </c>
      <c r="K83" t="n">
        <v>0</v>
      </c>
      <c r="L83" t="n">
        <v>1</v>
      </c>
      <c r="M83" t="n">
        <v>0</v>
      </c>
      <c r="N83" t="n">
        <v>0</v>
      </c>
      <c r="O83" t="n">
        <v>4</v>
      </c>
      <c r="P83" t="n">
        <v>1</v>
      </c>
      <c r="Q83" t="n">
        <v>4</v>
      </c>
      <c r="R83" s="2" t="inlineStr">
        <is>
          <t>Tornseglare
Busksångare
Rödvingetrast
Skrattmås</t>
        </is>
      </c>
      <c r="S83">
        <f>HYPERLINK("https://klasma.github.io/Logging_2182/artfynd/A 55426-2019.xlsx", "A 55426-2019")</f>
        <v/>
      </c>
      <c r="T83">
        <f>HYPERLINK("https://klasma.github.io/Logging_2182/kartor/A 55426-2019.png", "A 55426-2019")</f>
        <v/>
      </c>
      <c r="V83">
        <f>HYPERLINK("https://klasma.github.io/Logging_2182/klagomål/A 55426-2019.docx", "A 55426-2019")</f>
        <v/>
      </c>
      <c r="W83">
        <f>HYPERLINK("https://klasma.github.io/Logging_2182/klagomålsmail/A 55426-2019.docx", "A 55426-2019")</f>
        <v/>
      </c>
      <c r="X83">
        <f>HYPERLINK("https://klasma.github.io/Logging_2182/tillsyn/A 55426-2019.docx", "A 55426-2019")</f>
        <v/>
      </c>
      <c r="Y83">
        <f>HYPERLINK("https://klasma.github.io/Logging_2182/tillsynsmail/A 55426-2019.docx", "A 55426-2019")</f>
        <v/>
      </c>
    </row>
    <row r="84" ht="15" customHeight="1">
      <c r="A84" t="inlineStr">
        <is>
          <t>A 7569-2020</t>
        </is>
      </c>
      <c r="B84" s="1" t="n">
        <v>43872</v>
      </c>
      <c r="C84" s="1" t="n">
        <v>45209</v>
      </c>
      <c r="D84" t="inlineStr">
        <is>
          <t>GÄVLEBORGS LÄN</t>
        </is>
      </c>
      <c r="E84" t="inlineStr">
        <is>
          <t>LJUSDAL</t>
        </is>
      </c>
      <c r="G84" t="n">
        <v>5.5</v>
      </c>
      <c r="H84" t="n">
        <v>0</v>
      </c>
      <c r="I84" t="n">
        <v>0</v>
      </c>
      <c r="J84" t="n">
        <v>4</v>
      </c>
      <c r="K84" t="n">
        <v>0</v>
      </c>
      <c r="L84" t="n">
        <v>0</v>
      </c>
      <c r="M84" t="n">
        <v>0</v>
      </c>
      <c r="N84" t="n">
        <v>0</v>
      </c>
      <c r="O84" t="n">
        <v>4</v>
      </c>
      <c r="P84" t="n">
        <v>0</v>
      </c>
      <c r="Q84" t="n">
        <v>4</v>
      </c>
      <c r="R84" s="2" t="inlineStr">
        <is>
          <t>Blanksvart spiklav
Garnlav
Mörk kolflarnlav
Skrovellav</t>
        </is>
      </c>
      <c r="S84">
        <f>HYPERLINK("https://klasma.github.io/Logging_2161/artfynd/A 7569-2020.xlsx", "A 7569-2020")</f>
        <v/>
      </c>
      <c r="T84">
        <f>HYPERLINK("https://klasma.github.io/Logging_2161/kartor/A 7569-2020.png", "A 7569-2020")</f>
        <v/>
      </c>
      <c r="V84">
        <f>HYPERLINK("https://klasma.github.io/Logging_2161/klagomål/A 7569-2020.docx", "A 7569-2020")</f>
        <v/>
      </c>
      <c r="W84">
        <f>HYPERLINK("https://klasma.github.io/Logging_2161/klagomålsmail/A 7569-2020.docx", "A 7569-2020")</f>
        <v/>
      </c>
      <c r="X84">
        <f>HYPERLINK("https://klasma.github.io/Logging_2161/tillsyn/A 7569-2020.docx", "A 7569-2020")</f>
        <v/>
      </c>
      <c r="Y84">
        <f>HYPERLINK("https://klasma.github.io/Logging_2161/tillsynsmail/A 7569-2020.docx", "A 7569-2020")</f>
        <v/>
      </c>
    </row>
    <row r="85" ht="15" customHeight="1">
      <c r="A85" t="inlineStr">
        <is>
          <t>A 45074-2020</t>
        </is>
      </c>
      <c r="B85" s="1" t="n">
        <v>44088</v>
      </c>
      <c r="C85" s="1" t="n">
        <v>45209</v>
      </c>
      <c r="D85" t="inlineStr">
        <is>
          <t>GÄVLEBORGS LÄN</t>
        </is>
      </c>
      <c r="E85" t="inlineStr">
        <is>
          <t>OCKELBO</t>
        </is>
      </c>
      <c r="G85" t="n">
        <v>3.8</v>
      </c>
      <c r="H85" t="n">
        <v>0</v>
      </c>
      <c r="I85" t="n">
        <v>0</v>
      </c>
      <c r="J85" t="n">
        <v>3</v>
      </c>
      <c r="K85" t="n">
        <v>1</v>
      </c>
      <c r="L85" t="n">
        <v>0</v>
      </c>
      <c r="M85" t="n">
        <v>0</v>
      </c>
      <c r="N85" t="n">
        <v>0</v>
      </c>
      <c r="O85" t="n">
        <v>4</v>
      </c>
      <c r="P85" t="n">
        <v>1</v>
      </c>
      <c r="Q85" t="n">
        <v>4</v>
      </c>
      <c r="R85" s="2" t="inlineStr">
        <is>
          <t>Ostticka
Tallticka
Ullticka
Vedskivlav</t>
        </is>
      </c>
      <c r="S85">
        <f>HYPERLINK("https://klasma.github.io/Logging_2101/artfynd/A 45074-2020.xlsx", "A 45074-2020")</f>
        <v/>
      </c>
      <c r="T85">
        <f>HYPERLINK("https://klasma.github.io/Logging_2101/kartor/A 45074-2020.png", "A 45074-2020")</f>
        <v/>
      </c>
      <c r="V85">
        <f>HYPERLINK("https://klasma.github.io/Logging_2101/klagomål/A 45074-2020.docx", "A 45074-2020")</f>
        <v/>
      </c>
      <c r="W85">
        <f>HYPERLINK("https://klasma.github.io/Logging_2101/klagomålsmail/A 45074-2020.docx", "A 45074-2020")</f>
        <v/>
      </c>
      <c r="X85">
        <f>HYPERLINK("https://klasma.github.io/Logging_2101/tillsyn/A 45074-2020.docx", "A 45074-2020")</f>
        <v/>
      </c>
      <c r="Y85">
        <f>HYPERLINK("https://klasma.github.io/Logging_2101/tillsynsmail/A 45074-2020.docx", "A 45074-2020")</f>
        <v/>
      </c>
    </row>
    <row r="86" ht="15" customHeight="1">
      <c r="A86" t="inlineStr">
        <is>
          <t>A 48181-2021</t>
        </is>
      </c>
      <c r="B86" s="1" t="n">
        <v>44449</v>
      </c>
      <c r="C86" s="1" t="n">
        <v>45209</v>
      </c>
      <c r="D86" t="inlineStr">
        <is>
          <t>GÄVLEBORGS LÄN</t>
        </is>
      </c>
      <c r="E86" t="inlineStr">
        <is>
          <t>LJUSDAL</t>
        </is>
      </c>
      <c r="F86" t="inlineStr">
        <is>
          <t>Sveaskog</t>
        </is>
      </c>
      <c r="G86" t="n">
        <v>3.9</v>
      </c>
      <c r="H86" t="n">
        <v>0</v>
      </c>
      <c r="I86" t="n">
        <v>1</v>
      </c>
      <c r="J86" t="n">
        <v>3</v>
      </c>
      <c r="K86" t="n">
        <v>0</v>
      </c>
      <c r="L86" t="n">
        <v>0</v>
      </c>
      <c r="M86" t="n">
        <v>0</v>
      </c>
      <c r="N86" t="n">
        <v>0</v>
      </c>
      <c r="O86" t="n">
        <v>3</v>
      </c>
      <c r="P86" t="n">
        <v>0</v>
      </c>
      <c r="Q86" t="n">
        <v>4</v>
      </c>
      <c r="R86" s="2" t="inlineStr">
        <is>
          <t>Garnlav
Kolflarnlav
Lunglav
Dropptaggsvamp</t>
        </is>
      </c>
      <c r="S86">
        <f>HYPERLINK("https://klasma.github.io/Logging_2161/artfynd/A 48181-2021.xlsx", "A 48181-2021")</f>
        <v/>
      </c>
      <c r="T86">
        <f>HYPERLINK("https://klasma.github.io/Logging_2161/kartor/A 48181-2021.png", "A 48181-2021")</f>
        <v/>
      </c>
      <c r="V86">
        <f>HYPERLINK("https://klasma.github.io/Logging_2161/klagomål/A 48181-2021.docx", "A 48181-2021")</f>
        <v/>
      </c>
      <c r="W86">
        <f>HYPERLINK("https://klasma.github.io/Logging_2161/klagomålsmail/A 48181-2021.docx", "A 48181-2021")</f>
        <v/>
      </c>
      <c r="X86">
        <f>HYPERLINK("https://klasma.github.io/Logging_2161/tillsyn/A 48181-2021.docx", "A 48181-2021")</f>
        <v/>
      </c>
      <c r="Y86">
        <f>HYPERLINK("https://klasma.github.io/Logging_2161/tillsynsmail/A 48181-2021.docx", "A 48181-2021")</f>
        <v/>
      </c>
    </row>
    <row r="87" ht="15" customHeight="1">
      <c r="A87" t="inlineStr">
        <is>
          <t>A 18543-2022</t>
        </is>
      </c>
      <c r="B87" s="1" t="n">
        <v>44686</v>
      </c>
      <c r="C87" s="1" t="n">
        <v>45209</v>
      </c>
      <c r="D87" t="inlineStr">
        <is>
          <t>GÄVLEBORGS LÄN</t>
        </is>
      </c>
      <c r="E87" t="inlineStr">
        <is>
          <t>LJUSDAL</t>
        </is>
      </c>
      <c r="G87" t="n">
        <v>3.6</v>
      </c>
      <c r="H87" t="n">
        <v>1</v>
      </c>
      <c r="I87" t="n">
        <v>2</v>
      </c>
      <c r="J87" t="n">
        <v>1</v>
      </c>
      <c r="K87" t="n">
        <v>1</v>
      </c>
      <c r="L87" t="n">
        <v>0</v>
      </c>
      <c r="M87" t="n">
        <v>0</v>
      </c>
      <c r="N87" t="n">
        <v>0</v>
      </c>
      <c r="O87" t="n">
        <v>2</v>
      </c>
      <c r="P87" t="n">
        <v>1</v>
      </c>
      <c r="Q87" t="n">
        <v>4</v>
      </c>
      <c r="R87" s="2" t="inlineStr">
        <is>
          <t>Knärot
Vedtrappmossa
Bårdlav
Stuplav</t>
        </is>
      </c>
      <c r="S87">
        <f>HYPERLINK("https://klasma.github.io/Logging_2161/artfynd/A 18543-2022.xlsx", "A 18543-2022")</f>
        <v/>
      </c>
      <c r="T87">
        <f>HYPERLINK("https://klasma.github.io/Logging_2161/kartor/A 18543-2022.png", "A 18543-2022")</f>
        <v/>
      </c>
      <c r="U87">
        <f>HYPERLINK("https://klasma.github.io/Logging_2161/knärot/A 18543-2022.png", "A 18543-2022")</f>
        <v/>
      </c>
      <c r="V87">
        <f>HYPERLINK("https://klasma.github.io/Logging_2161/klagomål/A 18543-2022.docx", "A 18543-2022")</f>
        <v/>
      </c>
      <c r="W87">
        <f>HYPERLINK("https://klasma.github.io/Logging_2161/klagomålsmail/A 18543-2022.docx", "A 18543-2022")</f>
        <v/>
      </c>
      <c r="X87">
        <f>HYPERLINK("https://klasma.github.io/Logging_2161/tillsyn/A 18543-2022.docx", "A 18543-2022")</f>
        <v/>
      </c>
      <c r="Y87">
        <f>HYPERLINK("https://klasma.github.io/Logging_2161/tillsynsmail/A 18543-2022.docx", "A 18543-2022")</f>
        <v/>
      </c>
    </row>
    <row r="88" ht="15" customHeight="1">
      <c r="A88" t="inlineStr">
        <is>
          <t>A 48630-2022</t>
        </is>
      </c>
      <c r="B88" s="1" t="n">
        <v>44859</v>
      </c>
      <c r="C88" s="1" t="n">
        <v>45209</v>
      </c>
      <c r="D88" t="inlineStr">
        <is>
          <t>GÄVLEBORGS LÄN</t>
        </is>
      </c>
      <c r="E88" t="inlineStr">
        <is>
          <t>HUDIKSVALL</t>
        </is>
      </c>
      <c r="G88" t="n">
        <v>6.2</v>
      </c>
      <c r="H88" t="n">
        <v>3</v>
      </c>
      <c r="I88" t="n">
        <v>1</v>
      </c>
      <c r="J88" t="n">
        <v>2</v>
      </c>
      <c r="K88" t="n">
        <v>0</v>
      </c>
      <c r="L88" t="n">
        <v>0</v>
      </c>
      <c r="M88" t="n">
        <v>0</v>
      </c>
      <c r="N88" t="n">
        <v>0</v>
      </c>
      <c r="O88" t="n">
        <v>2</v>
      </c>
      <c r="P88" t="n">
        <v>0</v>
      </c>
      <c r="Q88" t="n">
        <v>4</v>
      </c>
      <c r="R88" s="2" t="inlineStr">
        <is>
          <t>Lunglav
Spillkråka
Korallrot
Fläcknycklar</t>
        </is>
      </c>
      <c r="S88">
        <f>HYPERLINK("https://klasma.github.io/Logging_2184/artfynd/A 48630-2022.xlsx", "A 48630-2022")</f>
        <v/>
      </c>
      <c r="T88">
        <f>HYPERLINK("https://klasma.github.io/Logging_2184/kartor/A 48630-2022.png", "A 48630-2022")</f>
        <v/>
      </c>
      <c r="V88">
        <f>HYPERLINK("https://klasma.github.io/Logging_2184/klagomål/A 48630-2022.docx", "A 48630-2022")</f>
        <v/>
      </c>
      <c r="W88">
        <f>HYPERLINK("https://klasma.github.io/Logging_2184/klagomålsmail/A 48630-2022.docx", "A 48630-2022")</f>
        <v/>
      </c>
      <c r="X88">
        <f>HYPERLINK("https://klasma.github.io/Logging_2184/tillsyn/A 48630-2022.docx", "A 48630-2022")</f>
        <v/>
      </c>
      <c r="Y88">
        <f>HYPERLINK("https://klasma.github.io/Logging_2184/tillsynsmail/A 48630-2022.docx", "A 48630-2022")</f>
        <v/>
      </c>
    </row>
    <row r="89" ht="15" customHeight="1">
      <c r="A89" t="inlineStr">
        <is>
          <t>A 55473-2022</t>
        </is>
      </c>
      <c r="B89" s="1" t="n">
        <v>44887</v>
      </c>
      <c r="C89" s="1" t="n">
        <v>45209</v>
      </c>
      <c r="D89" t="inlineStr">
        <is>
          <t>GÄVLEBORGS LÄN</t>
        </is>
      </c>
      <c r="E89" t="inlineStr">
        <is>
          <t>OVANÅKER</t>
        </is>
      </c>
      <c r="G89" t="n">
        <v>7.9</v>
      </c>
      <c r="H89" t="n">
        <v>0</v>
      </c>
      <c r="I89" t="n">
        <v>1</v>
      </c>
      <c r="J89" t="n">
        <v>3</v>
      </c>
      <c r="K89" t="n">
        <v>0</v>
      </c>
      <c r="L89" t="n">
        <v>0</v>
      </c>
      <c r="M89" t="n">
        <v>0</v>
      </c>
      <c r="N89" t="n">
        <v>0</v>
      </c>
      <c r="O89" t="n">
        <v>3</v>
      </c>
      <c r="P89" t="n">
        <v>0</v>
      </c>
      <c r="Q89" t="n">
        <v>4</v>
      </c>
      <c r="R89" s="2" t="inlineStr">
        <is>
          <t>Dvärgbägarlav
Kolflarnlav
Mörk kolflarnlav
Dropptaggsvamp</t>
        </is>
      </c>
      <c r="S89">
        <f>HYPERLINK("https://klasma.github.io/Logging_2121/artfynd/A 55473-2022.xlsx", "A 55473-2022")</f>
        <v/>
      </c>
      <c r="T89">
        <f>HYPERLINK("https://klasma.github.io/Logging_2121/kartor/A 55473-2022.png", "A 55473-2022")</f>
        <v/>
      </c>
      <c r="V89">
        <f>HYPERLINK("https://klasma.github.io/Logging_2121/klagomål/A 55473-2022.docx", "A 55473-2022")</f>
        <v/>
      </c>
      <c r="W89">
        <f>HYPERLINK("https://klasma.github.io/Logging_2121/klagomålsmail/A 55473-2022.docx", "A 55473-2022")</f>
        <v/>
      </c>
      <c r="X89">
        <f>HYPERLINK("https://klasma.github.io/Logging_2121/tillsyn/A 55473-2022.docx", "A 55473-2022")</f>
        <v/>
      </c>
      <c r="Y89">
        <f>HYPERLINK("https://klasma.github.io/Logging_2121/tillsynsmail/A 55473-2022.docx", "A 55473-2022")</f>
        <v/>
      </c>
    </row>
    <row r="90" ht="15" customHeight="1">
      <c r="A90" t="inlineStr">
        <is>
          <t>A 19521-2023</t>
        </is>
      </c>
      <c r="B90" s="1" t="n">
        <v>45050</v>
      </c>
      <c r="C90" s="1" t="n">
        <v>45209</v>
      </c>
      <c r="D90" t="inlineStr">
        <is>
          <t>GÄVLEBORGS LÄN</t>
        </is>
      </c>
      <c r="E90" t="inlineStr">
        <is>
          <t>HUDIKSVALL</t>
        </is>
      </c>
      <c r="F90" t="inlineStr">
        <is>
          <t>Holmen skog AB</t>
        </is>
      </c>
      <c r="G90" t="n">
        <v>9.300000000000001</v>
      </c>
      <c r="H90" t="n">
        <v>1</v>
      </c>
      <c r="I90" t="n">
        <v>1</v>
      </c>
      <c r="J90" t="n">
        <v>2</v>
      </c>
      <c r="K90" t="n">
        <v>0</v>
      </c>
      <c r="L90" t="n">
        <v>0</v>
      </c>
      <c r="M90" t="n">
        <v>0</v>
      </c>
      <c r="N90" t="n">
        <v>0</v>
      </c>
      <c r="O90" t="n">
        <v>2</v>
      </c>
      <c r="P90" t="n">
        <v>0</v>
      </c>
      <c r="Q90" t="n">
        <v>4</v>
      </c>
      <c r="R90" s="2" t="inlineStr">
        <is>
          <t>Kolflarnlav
Lunglav
Bollvitmossa
Vanlig groda</t>
        </is>
      </c>
      <c r="S90">
        <f>HYPERLINK("https://klasma.github.io/Logging_2184/artfynd/A 19521-2023.xlsx", "A 19521-2023")</f>
        <v/>
      </c>
      <c r="T90">
        <f>HYPERLINK("https://klasma.github.io/Logging_2184/kartor/A 19521-2023.png", "A 19521-2023")</f>
        <v/>
      </c>
      <c r="V90">
        <f>HYPERLINK("https://klasma.github.io/Logging_2184/klagomål/A 19521-2023.docx", "A 19521-2023")</f>
        <v/>
      </c>
      <c r="W90">
        <f>HYPERLINK("https://klasma.github.io/Logging_2184/klagomålsmail/A 19521-2023.docx", "A 19521-2023")</f>
        <v/>
      </c>
      <c r="X90">
        <f>HYPERLINK("https://klasma.github.io/Logging_2184/tillsyn/A 19521-2023.docx", "A 19521-2023")</f>
        <v/>
      </c>
      <c r="Y90">
        <f>HYPERLINK("https://klasma.github.io/Logging_2184/tillsynsmail/A 19521-2023.docx", "A 19521-2023")</f>
        <v/>
      </c>
    </row>
    <row r="91" ht="15" customHeight="1">
      <c r="A91" t="inlineStr">
        <is>
          <t>A 22978-2023</t>
        </is>
      </c>
      <c r="B91" s="1" t="n">
        <v>45072</v>
      </c>
      <c r="C91" s="1" t="n">
        <v>45209</v>
      </c>
      <c r="D91" t="inlineStr">
        <is>
          <t>GÄVLEBORGS LÄN</t>
        </is>
      </c>
      <c r="E91" t="inlineStr">
        <is>
          <t>LJUSDAL</t>
        </is>
      </c>
      <c r="G91" t="n">
        <v>1.8</v>
      </c>
      <c r="H91" t="n">
        <v>2</v>
      </c>
      <c r="I91" t="n">
        <v>0</v>
      </c>
      <c r="J91" t="n">
        <v>2</v>
      </c>
      <c r="K91" t="n">
        <v>1</v>
      </c>
      <c r="L91" t="n">
        <v>0</v>
      </c>
      <c r="M91" t="n">
        <v>0</v>
      </c>
      <c r="N91" t="n">
        <v>0</v>
      </c>
      <c r="O91" t="n">
        <v>3</v>
      </c>
      <c r="P91" t="n">
        <v>1</v>
      </c>
      <c r="Q91" t="n">
        <v>4</v>
      </c>
      <c r="R91" s="2" t="inlineStr">
        <is>
          <t>Knärot
Rosenticka
Ullticka
Revlummer</t>
        </is>
      </c>
      <c r="S91">
        <f>HYPERLINK("https://klasma.github.io/Logging_2161/artfynd/A 22978-2023.xlsx", "A 22978-2023")</f>
        <v/>
      </c>
      <c r="T91">
        <f>HYPERLINK("https://klasma.github.io/Logging_2161/kartor/A 22978-2023.png", "A 22978-2023")</f>
        <v/>
      </c>
      <c r="U91">
        <f>HYPERLINK("https://klasma.github.io/Logging_2161/knärot/A 22978-2023.png", "A 22978-2023")</f>
        <v/>
      </c>
      <c r="V91">
        <f>HYPERLINK("https://klasma.github.io/Logging_2161/klagomål/A 22978-2023.docx", "A 22978-2023")</f>
        <v/>
      </c>
      <c r="W91">
        <f>HYPERLINK("https://klasma.github.io/Logging_2161/klagomålsmail/A 22978-2023.docx", "A 22978-2023")</f>
        <v/>
      </c>
      <c r="X91">
        <f>HYPERLINK("https://klasma.github.io/Logging_2161/tillsyn/A 22978-2023.docx", "A 22978-2023")</f>
        <v/>
      </c>
      <c r="Y91">
        <f>HYPERLINK("https://klasma.github.io/Logging_2161/tillsynsmail/A 22978-2023.docx", "A 22978-2023")</f>
        <v/>
      </c>
    </row>
    <row r="92" ht="15" customHeight="1">
      <c r="A92" t="inlineStr">
        <is>
          <t>A 26675-2023</t>
        </is>
      </c>
      <c r="B92" s="1" t="n">
        <v>45093</v>
      </c>
      <c r="C92" s="1" t="n">
        <v>45209</v>
      </c>
      <c r="D92" t="inlineStr">
        <is>
          <t>GÄVLEBORGS LÄN</t>
        </is>
      </c>
      <c r="E92" t="inlineStr">
        <is>
          <t>LJUSDAL</t>
        </is>
      </c>
      <c r="F92" t="inlineStr">
        <is>
          <t>Sveaskog</t>
        </is>
      </c>
      <c r="G92" t="n">
        <v>8.300000000000001</v>
      </c>
      <c r="H92" t="n">
        <v>1</v>
      </c>
      <c r="I92" t="n">
        <v>0</v>
      </c>
      <c r="J92" t="n">
        <v>4</v>
      </c>
      <c r="K92" t="n">
        <v>0</v>
      </c>
      <c r="L92" t="n">
        <v>0</v>
      </c>
      <c r="M92" t="n">
        <v>0</v>
      </c>
      <c r="N92" t="n">
        <v>0</v>
      </c>
      <c r="O92" t="n">
        <v>4</v>
      </c>
      <c r="P92" t="n">
        <v>0</v>
      </c>
      <c r="Q92" t="n">
        <v>4</v>
      </c>
      <c r="R92" s="2" t="inlineStr">
        <is>
          <t>Garnlav
Kolflarnlav
Mörk kolflarnlav
Talltita</t>
        </is>
      </c>
      <c r="S92">
        <f>HYPERLINK("https://klasma.github.io/Logging_2161/artfynd/A 26675-2023.xlsx", "A 26675-2023")</f>
        <v/>
      </c>
      <c r="T92">
        <f>HYPERLINK("https://klasma.github.io/Logging_2161/kartor/A 26675-2023.png", "A 26675-2023")</f>
        <v/>
      </c>
      <c r="V92">
        <f>HYPERLINK("https://klasma.github.io/Logging_2161/klagomål/A 26675-2023.docx", "A 26675-2023")</f>
        <v/>
      </c>
      <c r="W92">
        <f>HYPERLINK("https://klasma.github.io/Logging_2161/klagomålsmail/A 26675-2023.docx", "A 26675-2023")</f>
        <v/>
      </c>
      <c r="X92">
        <f>HYPERLINK("https://klasma.github.io/Logging_2161/tillsyn/A 26675-2023.docx", "A 26675-2023")</f>
        <v/>
      </c>
      <c r="Y92">
        <f>HYPERLINK("https://klasma.github.io/Logging_2161/tillsynsmail/A 26675-2023.docx", "A 26675-2023")</f>
        <v/>
      </c>
    </row>
    <row r="93" ht="15" customHeight="1">
      <c r="A93" t="inlineStr">
        <is>
          <t>A 38738-2023</t>
        </is>
      </c>
      <c r="B93" s="1" t="n">
        <v>45163</v>
      </c>
      <c r="C93" s="1" t="n">
        <v>45209</v>
      </c>
      <c r="D93" t="inlineStr">
        <is>
          <t>GÄVLEBORGS LÄN</t>
        </is>
      </c>
      <c r="E93" t="inlineStr">
        <is>
          <t>HOFORS</t>
        </is>
      </c>
      <c r="F93" t="inlineStr">
        <is>
          <t>Kyrkan</t>
        </is>
      </c>
      <c r="G93" t="n">
        <v>1.3</v>
      </c>
      <c r="H93" t="n">
        <v>1</v>
      </c>
      <c r="I93" t="n">
        <v>2</v>
      </c>
      <c r="J93" t="n">
        <v>1</v>
      </c>
      <c r="K93" t="n">
        <v>1</v>
      </c>
      <c r="L93" t="n">
        <v>0</v>
      </c>
      <c r="M93" t="n">
        <v>0</v>
      </c>
      <c r="N93" t="n">
        <v>0</v>
      </c>
      <c r="O93" t="n">
        <v>2</v>
      </c>
      <c r="P93" t="n">
        <v>1</v>
      </c>
      <c r="Q93" t="n">
        <v>4</v>
      </c>
      <c r="R93" s="2" t="inlineStr">
        <is>
          <t>Knärot
Svartvit taggsvamp
Fjällig taggsvamp s.str.
Grönpyrola</t>
        </is>
      </c>
      <c r="S93">
        <f>HYPERLINK("https://klasma.github.io/Logging_2104/artfynd/A 38738-2023.xlsx", "A 38738-2023")</f>
        <v/>
      </c>
      <c r="T93">
        <f>HYPERLINK("https://klasma.github.io/Logging_2104/kartor/A 38738-2023.png", "A 38738-2023")</f>
        <v/>
      </c>
      <c r="U93">
        <f>HYPERLINK("https://klasma.github.io/Logging_2104/knärot/A 38738-2023.png", "A 38738-2023")</f>
        <v/>
      </c>
      <c r="V93">
        <f>HYPERLINK("https://klasma.github.io/Logging_2104/klagomål/A 38738-2023.docx", "A 38738-2023")</f>
        <v/>
      </c>
      <c r="W93">
        <f>HYPERLINK("https://klasma.github.io/Logging_2104/klagomålsmail/A 38738-2023.docx", "A 38738-2023")</f>
        <v/>
      </c>
      <c r="X93">
        <f>HYPERLINK("https://klasma.github.io/Logging_2104/tillsyn/A 38738-2023.docx", "A 38738-2023")</f>
        <v/>
      </c>
      <c r="Y93">
        <f>HYPERLINK("https://klasma.github.io/Logging_2104/tillsynsmail/A 38738-2023.docx", "A 38738-2023")</f>
        <v/>
      </c>
    </row>
    <row r="94" ht="15" customHeight="1">
      <c r="A94" t="inlineStr">
        <is>
          <t>A 43562-2018</t>
        </is>
      </c>
      <c r="B94" s="1" t="n">
        <v>43357</v>
      </c>
      <c r="C94" s="1" t="n">
        <v>45209</v>
      </c>
      <c r="D94" t="inlineStr">
        <is>
          <t>GÄVLEBORGS LÄN</t>
        </is>
      </c>
      <c r="E94" t="inlineStr">
        <is>
          <t>LJUSDAL</t>
        </is>
      </c>
      <c r="G94" t="n">
        <v>64.59999999999999</v>
      </c>
      <c r="H94" t="n">
        <v>3</v>
      </c>
      <c r="I94" t="n">
        <v>0</v>
      </c>
      <c r="J94" t="n">
        <v>3</v>
      </c>
      <c r="K94" t="n">
        <v>0</v>
      </c>
      <c r="L94" t="n">
        <v>0</v>
      </c>
      <c r="M94" t="n">
        <v>0</v>
      </c>
      <c r="N94" t="n">
        <v>0</v>
      </c>
      <c r="O94" t="n">
        <v>3</v>
      </c>
      <c r="P94" t="n">
        <v>0</v>
      </c>
      <c r="Q94" t="n">
        <v>3</v>
      </c>
      <c r="R94" s="2" t="inlineStr">
        <is>
          <t>Björktrast
Rödvingetrast
Tretåig hackspett</t>
        </is>
      </c>
      <c r="S94">
        <f>HYPERLINK("https://klasma.github.io/Logging_2161/artfynd/A 43562-2018.xlsx", "A 43562-2018")</f>
        <v/>
      </c>
      <c r="T94">
        <f>HYPERLINK("https://klasma.github.io/Logging_2161/kartor/A 43562-2018.png", "A 43562-2018")</f>
        <v/>
      </c>
      <c r="V94">
        <f>HYPERLINK("https://klasma.github.io/Logging_2161/klagomål/A 43562-2018.docx", "A 43562-2018")</f>
        <v/>
      </c>
      <c r="W94">
        <f>HYPERLINK("https://klasma.github.io/Logging_2161/klagomålsmail/A 43562-2018.docx", "A 43562-2018")</f>
        <v/>
      </c>
      <c r="X94">
        <f>HYPERLINK("https://klasma.github.io/Logging_2161/tillsyn/A 43562-2018.docx", "A 43562-2018")</f>
        <v/>
      </c>
      <c r="Y94">
        <f>HYPERLINK("https://klasma.github.io/Logging_2161/tillsynsmail/A 43562-2018.docx", "A 43562-2018")</f>
        <v/>
      </c>
    </row>
    <row r="95" ht="15" customHeight="1">
      <c r="A95" t="inlineStr">
        <is>
          <t>A 21895-2019</t>
        </is>
      </c>
      <c r="B95" s="1" t="n">
        <v>43584</v>
      </c>
      <c r="C95" s="1" t="n">
        <v>45209</v>
      </c>
      <c r="D95" t="inlineStr">
        <is>
          <t>GÄVLEBORGS LÄN</t>
        </is>
      </c>
      <c r="E95" t="inlineStr">
        <is>
          <t>HUDIKSVALL</t>
        </is>
      </c>
      <c r="F95" t="inlineStr">
        <is>
          <t>Holmen skog AB</t>
        </is>
      </c>
      <c r="G95" t="n">
        <v>5.6</v>
      </c>
      <c r="H95" t="n">
        <v>1</v>
      </c>
      <c r="I95" t="n">
        <v>1</v>
      </c>
      <c r="J95" t="n">
        <v>0</v>
      </c>
      <c r="K95" t="n">
        <v>2</v>
      </c>
      <c r="L95" t="n">
        <v>0</v>
      </c>
      <c r="M95" t="n">
        <v>0</v>
      </c>
      <c r="N95" t="n">
        <v>0</v>
      </c>
      <c r="O95" t="n">
        <v>2</v>
      </c>
      <c r="P95" t="n">
        <v>2</v>
      </c>
      <c r="Q95" t="n">
        <v>3</v>
      </c>
      <c r="R95" s="2" t="inlineStr">
        <is>
          <t>Blackticka
Knärot
Bågpraktmossa</t>
        </is>
      </c>
      <c r="S95">
        <f>HYPERLINK("https://klasma.github.io/Logging_2184/artfynd/A 21895-2019.xlsx", "A 21895-2019")</f>
        <v/>
      </c>
      <c r="T95">
        <f>HYPERLINK("https://klasma.github.io/Logging_2184/kartor/A 21895-2019.png", "A 21895-2019")</f>
        <v/>
      </c>
      <c r="U95">
        <f>HYPERLINK("https://klasma.github.io/Logging_2184/knärot/A 21895-2019.png", "A 21895-2019")</f>
        <v/>
      </c>
      <c r="V95">
        <f>HYPERLINK("https://klasma.github.io/Logging_2184/klagomål/A 21895-2019.docx", "A 21895-2019")</f>
        <v/>
      </c>
      <c r="W95">
        <f>HYPERLINK("https://klasma.github.io/Logging_2184/klagomålsmail/A 21895-2019.docx", "A 21895-2019")</f>
        <v/>
      </c>
      <c r="X95">
        <f>HYPERLINK("https://klasma.github.io/Logging_2184/tillsyn/A 21895-2019.docx", "A 21895-2019")</f>
        <v/>
      </c>
      <c r="Y95">
        <f>HYPERLINK("https://klasma.github.io/Logging_2184/tillsynsmail/A 21895-2019.docx", "A 21895-2019")</f>
        <v/>
      </c>
    </row>
    <row r="96" ht="15" customHeight="1">
      <c r="A96" t="inlineStr">
        <is>
          <t>A 29664-2019</t>
        </is>
      </c>
      <c r="B96" s="1" t="n">
        <v>43628</v>
      </c>
      <c r="C96" s="1" t="n">
        <v>45209</v>
      </c>
      <c r="D96" t="inlineStr">
        <is>
          <t>GÄVLEBORGS LÄN</t>
        </is>
      </c>
      <c r="E96" t="inlineStr">
        <is>
          <t>LJUSDAL</t>
        </is>
      </c>
      <c r="F96" t="inlineStr">
        <is>
          <t>Holmen skog AB</t>
        </is>
      </c>
      <c r="G96" t="n">
        <v>3.1</v>
      </c>
      <c r="H96" t="n">
        <v>1</v>
      </c>
      <c r="I96" t="n">
        <v>1</v>
      </c>
      <c r="J96" t="n">
        <v>1</v>
      </c>
      <c r="K96" t="n">
        <v>1</v>
      </c>
      <c r="L96" t="n">
        <v>0</v>
      </c>
      <c r="M96" t="n">
        <v>0</v>
      </c>
      <c r="N96" t="n">
        <v>0</v>
      </c>
      <c r="O96" t="n">
        <v>2</v>
      </c>
      <c r="P96" t="n">
        <v>1</v>
      </c>
      <c r="Q96" t="n">
        <v>3</v>
      </c>
      <c r="R96" s="2" t="inlineStr">
        <is>
          <t>Knärot
Ullticka
Dropptaggsvamp</t>
        </is>
      </c>
      <c r="S96">
        <f>HYPERLINK("https://klasma.github.io/Logging_2161/artfynd/A 29664-2019.xlsx", "A 29664-2019")</f>
        <v/>
      </c>
      <c r="T96">
        <f>HYPERLINK("https://klasma.github.io/Logging_2161/kartor/A 29664-2019.png", "A 29664-2019")</f>
        <v/>
      </c>
      <c r="U96">
        <f>HYPERLINK("https://klasma.github.io/Logging_2161/knärot/A 29664-2019.png", "A 29664-2019")</f>
        <v/>
      </c>
      <c r="V96">
        <f>HYPERLINK("https://klasma.github.io/Logging_2161/klagomål/A 29664-2019.docx", "A 29664-2019")</f>
        <v/>
      </c>
      <c r="W96">
        <f>HYPERLINK("https://klasma.github.io/Logging_2161/klagomålsmail/A 29664-2019.docx", "A 29664-2019")</f>
        <v/>
      </c>
      <c r="X96">
        <f>HYPERLINK("https://klasma.github.io/Logging_2161/tillsyn/A 29664-2019.docx", "A 29664-2019")</f>
        <v/>
      </c>
      <c r="Y96">
        <f>HYPERLINK("https://klasma.github.io/Logging_2161/tillsynsmail/A 29664-2019.docx", "A 29664-2019")</f>
        <v/>
      </c>
    </row>
    <row r="97" ht="15" customHeight="1">
      <c r="A97" t="inlineStr">
        <is>
          <t>A 30590-2019</t>
        </is>
      </c>
      <c r="B97" s="1" t="n">
        <v>43635</v>
      </c>
      <c r="C97" s="1" t="n">
        <v>45209</v>
      </c>
      <c r="D97" t="inlineStr">
        <is>
          <t>GÄVLEBORGS LÄN</t>
        </is>
      </c>
      <c r="E97" t="inlineStr">
        <is>
          <t>HOFORS</t>
        </is>
      </c>
      <c r="F97" t="inlineStr">
        <is>
          <t>Sveaskog</t>
        </is>
      </c>
      <c r="G97" t="n">
        <v>7.2</v>
      </c>
      <c r="H97" t="n">
        <v>2</v>
      </c>
      <c r="I97" t="n">
        <v>1</v>
      </c>
      <c r="J97" t="n">
        <v>1</v>
      </c>
      <c r="K97" t="n">
        <v>1</v>
      </c>
      <c r="L97" t="n">
        <v>0</v>
      </c>
      <c r="M97" t="n">
        <v>0</v>
      </c>
      <c r="N97" t="n">
        <v>0</v>
      </c>
      <c r="O97" t="n">
        <v>2</v>
      </c>
      <c r="P97" t="n">
        <v>1</v>
      </c>
      <c r="Q97" t="n">
        <v>3</v>
      </c>
      <c r="R97" s="2" t="inlineStr">
        <is>
          <t>Knärot
Kortskaftad ärgspik
Plattlummer</t>
        </is>
      </c>
      <c r="S97">
        <f>HYPERLINK("https://klasma.github.io/Logging_2104/artfynd/A 30590-2019.xlsx", "A 30590-2019")</f>
        <v/>
      </c>
      <c r="T97">
        <f>HYPERLINK("https://klasma.github.io/Logging_2104/kartor/A 30590-2019.png", "A 30590-2019")</f>
        <v/>
      </c>
      <c r="U97">
        <f>HYPERLINK("https://klasma.github.io/Logging_2104/knärot/A 30590-2019.png", "A 30590-2019")</f>
        <v/>
      </c>
      <c r="V97">
        <f>HYPERLINK("https://klasma.github.io/Logging_2104/klagomål/A 30590-2019.docx", "A 30590-2019")</f>
        <v/>
      </c>
      <c r="W97">
        <f>HYPERLINK("https://klasma.github.io/Logging_2104/klagomålsmail/A 30590-2019.docx", "A 30590-2019")</f>
        <v/>
      </c>
      <c r="X97">
        <f>HYPERLINK("https://klasma.github.io/Logging_2104/tillsyn/A 30590-2019.docx", "A 30590-2019")</f>
        <v/>
      </c>
      <c r="Y97">
        <f>HYPERLINK("https://klasma.github.io/Logging_2104/tillsynsmail/A 30590-2019.docx", "A 30590-2019")</f>
        <v/>
      </c>
    </row>
    <row r="98" ht="15" customHeight="1">
      <c r="A98" t="inlineStr">
        <is>
          <t>A 47377-2019</t>
        </is>
      </c>
      <c r="B98" s="1" t="n">
        <v>43721</v>
      </c>
      <c r="C98" s="1" t="n">
        <v>45209</v>
      </c>
      <c r="D98" t="inlineStr">
        <is>
          <t>GÄVLEBORGS LÄN</t>
        </is>
      </c>
      <c r="E98" t="inlineStr">
        <is>
          <t>GÄVLE</t>
        </is>
      </c>
      <c r="F98" t="inlineStr">
        <is>
          <t>Bergvik skog öst AB</t>
        </is>
      </c>
      <c r="G98" t="n">
        <v>21.7</v>
      </c>
      <c r="H98" t="n">
        <v>0</v>
      </c>
      <c r="I98" t="n">
        <v>0</v>
      </c>
      <c r="J98" t="n">
        <v>3</v>
      </c>
      <c r="K98" t="n">
        <v>0</v>
      </c>
      <c r="L98" t="n">
        <v>0</v>
      </c>
      <c r="M98" t="n">
        <v>0</v>
      </c>
      <c r="N98" t="n">
        <v>0</v>
      </c>
      <c r="O98" t="n">
        <v>3</v>
      </c>
      <c r="P98" t="n">
        <v>0</v>
      </c>
      <c r="Q98" t="n">
        <v>3</v>
      </c>
      <c r="R98" s="2" t="inlineStr">
        <is>
          <t>Brunklöver
Svävflugedagsvärmare
Violettkantad guldvinge</t>
        </is>
      </c>
      <c r="S98">
        <f>HYPERLINK("https://klasma.github.io/Logging_2180/artfynd/A 47377-2019.xlsx", "A 47377-2019")</f>
        <v/>
      </c>
      <c r="T98">
        <f>HYPERLINK("https://klasma.github.io/Logging_2180/kartor/A 47377-2019.png", "A 47377-2019")</f>
        <v/>
      </c>
      <c r="V98">
        <f>HYPERLINK("https://klasma.github.io/Logging_2180/klagomål/A 47377-2019.docx", "A 47377-2019")</f>
        <v/>
      </c>
      <c r="W98">
        <f>HYPERLINK("https://klasma.github.io/Logging_2180/klagomålsmail/A 47377-2019.docx", "A 47377-2019")</f>
        <v/>
      </c>
      <c r="X98">
        <f>HYPERLINK("https://klasma.github.io/Logging_2180/tillsyn/A 47377-2019.docx", "A 47377-2019")</f>
        <v/>
      </c>
      <c r="Y98">
        <f>HYPERLINK("https://klasma.github.io/Logging_2180/tillsynsmail/A 47377-2019.docx", "A 47377-2019")</f>
        <v/>
      </c>
    </row>
    <row r="99" ht="15" customHeight="1">
      <c r="A99" t="inlineStr">
        <is>
          <t>A 67390-2019</t>
        </is>
      </c>
      <c r="B99" s="1" t="n">
        <v>43812</v>
      </c>
      <c r="C99" s="1" t="n">
        <v>45209</v>
      </c>
      <c r="D99" t="inlineStr">
        <is>
          <t>GÄVLEBORGS LÄN</t>
        </is>
      </c>
      <c r="E99" t="inlineStr">
        <is>
          <t>GÄVLE</t>
        </is>
      </c>
      <c r="F99" t="inlineStr">
        <is>
          <t>Kommuner</t>
        </is>
      </c>
      <c r="G99" t="n">
        <v>7.8</v>
      </c>
      <c r="H99" t="n">
        <v>1</v>
      </c>
      <c r="I99" t="n">
        <v>3</v>
      </c>
      <c r="J99" t="n">
        <v>0</v>
      </c>
      <c r="K99" t="n">
        <v>0</v>
      </c>
      <c r="L99" t="n">
        <v>0</v>
      </c>
      <c r="M99" t="n">
        <v>0</v>
      </c>
      <c r="N99" t="n">
        <v>0</v>
      </c>
      <c r="O99" t="n">
        <v>0</v>
      </c>
      <c r="P99" t="n">
        <v>0</v>
      </c>
      <c r="Q99" t="n">
        <v>3</v>
      </c>
      <c r="R99" s="2" t="inlineStr">
        <is>
          <t>Grön sköldmossa
Mörk husmossa
Skogshakmossa</t>
        </is>
      </c>
      <c r="S99">
        <f>HYPERLINK("https://klasma.github.io/Logging_2180/artfynd/A 67390-2019.xlsx", "A 67390-2019")</f>
        <v/>
      </c>
      <c r="T99">
        <f>HYPERLINK("https://klasma.github.io/Logging_2180/kartor/A 67390-2019.png", "A 67390-2019")</f>
        <v/>
      </c>
      <c r="V99">
        <f>HYPERLINK("https://klasma.github.io/Logging_2180/klagomål/A 67390-2019.docx", "A 67390-2019")</f>
        <v/>
      </c>
      <c r="W99">
        <f>HYPERLINK("https://klasma.github.io/Logging_2180/klagomålsmail/A 67390-2019.docx", "A 67390-2019")</f>
        <v/>
      </c>
      <c r="X99">
        <f>HYPERLINK("https://klasma.github.io/Logging_2180/tillsyn/A 67390-2019.docx", "A 67390-2019")</f>
        <v/>
      </c>
      <c r="Y99">
        <f>HYPERLINK("https://klasma.github.io/Logging_2180/tillsynsmail/A 67390-2019.docx", "A 67390-2019")</f>
        <v/>
      </c>
    </row>
    <row r="100" ht="15" customHeight="1">
      <c r="A100" t="inlineStr">
        <is>
          <t>A 3258-2020</t>
        </is>
      </c>
      <c r="B100" s="1" t="n">
        <v>43852</v>
      </c>
      <c r="C100" s="1" t="n">
        <v>45209</v>
      </c>
      <c r="D100" t="inlineStr">
        <is>
          <t>GÄVLEBORGS LÄN</t>
        </is>
      </c>
      <c r="E100" t="inlineStr">
        <is>
          <t>LJUSDAL</t>
        </is>
      </c>
      <c r="F100" t="inlineStr">
        <is>
          <t>Sveaskog</t>
        </is>
      </c>
      <c r="G100" t="n">
        <v>4.3</v>
      </c>
      <c r="H100" t="n">
        <v>1</v>
      </c>
      <c r="I100" t="n">
        <v>1</v>
      </c>
      <c r="J100" t="n">
        <v>1</v>
      </c>
      <c r="K100" t="n">
        <v>1</v>
      </c>
      <c r="L100" t="n">
        <v>0</v>
      </c>
      <c r="M100" t="n">
        <v>0</v>
      </c>
      <c r="N100" t="n">
        <v>0</v>
      </c>
      <c r="O100" t="n">
        <v>2</v>
      </c>
      <c r="P100" t="n">
        <v>1</v>
      </c>
      <c r="Q100" t="n">
        <v>3</v>
      </c>
      <c r="R100" s="2" t="inlineStr">
        <is>
          <t>Knärot
Tallticka
Dropptaggsvamp</t>
        </is>
      </c>
      <c r="S100">
        <f>HYPERLINK("https://klasma.github.io/Logging_2161/artfynd/A 3258-2020.xlsx", "A 3258-2020")</f>
        <v/>
      </c>
      <c r="T100">
        <f>HYPERLINK("https://klasma.github.io/Logging_2161/kartor/A 3258-2020.png", "A 3258-2020")</f>
        <v/>
      </c>
      <c r="U100">
        <f>HYPERLINK("https://klasma.github.io/Logging_2161/knärot/A 3258-2020.png", "A 3258-2020")</f>
        <v/>
      </c>
      <c r="V100">
        <f>HYPERLINK("https://klasma.github.io/Logging_2161/klagomål/A 3258-2020.docx", "A 3258-2020")</f>
        <v/>
      </c>
      <c r="W100">
        <f>HYPERLINK("https://klasma.github.io/Logging_2161/klagomålsmail/A 3258-2020.docx", "A 3258-2020")</f>
        <v/>
      </c>
      <c r="X100">
        <f>HYPERLINK("https://klasma.github.io/Logging_2161/tillsyn/A 3258-2020.docx", "A 3258-2020")</f>
        <v/>
      </c>
      <c r="Y100">
        <f>HYPERLINK("https://klasma.github.io/Logging_2161/tillsynsmail/A 3258-2020.docx", "A 3258-2020")</f>
        <v/>
      </c>
    </row>
    <row r="101" ht="15" customHeight="1">
      <c r="A101" t="inlineStr">
        <is>
          <t>A 7558-2020</t>
        </is>
      </c>
      <c r="B101" s="1" t="n">
        <v>43872</v>
      </c>
      <c r="C101" s="1" t="n">
        <v>45209</v>
      </c>
      <c r="D101" t="inlineStr">
        <is>
          <t>GÄVLEBORGS LÄN</t>
        </is>
      </c>
      <c r="E101" t="inlineStr">
        <is>
          <t>LJUSDAL</t>
        </is>
      </c>
      <c r="G101" t="n">
        <v>2.9</v>
      </c>
      <c r="H101" t="n">
        <v>0</v>
      </c>
      <c r="I101" t="n">
        <v>1</v>
      </c>
      <c r="J101" t="n">
        <v>2</v>
      </c>
      <c r="K101" t="n">
        <v>0</v>
      </c>
      <c r="L101" t="n">
        <v>0</v>
      </c>
      <c r="M101" t="n">
        <v>0</v>
      </c>
      <c r="N101" t="n">
        <v>0</v>
      </c>
      <c r="O101" t="n">
        <v>2</v>
      </c>
      <c r="P101" t="n">
        <v>0</v>
      </c>
      <c r="Q101" t="n">
        <v>3</v>
      </c>
      <c r="R101" s="2" t="inlineStr">
        <is>
          <t>Dvärgbägarlav
Vedskivlav
Dropptaggsvamp</t>
        </is>
      </c>
      <c r="S101">
        <f>HYPERLINK("https://klasma.github.io/Logging_2161/artfynd/A 7558-2020.xlsx", "A 7558-2020")</f>
        <v/>
      </c>
      <c r="T101">
        <f>HYPERLINK("https://klasma.github.io/Logging_2161/kartor/A 7558-2020.png", "A 7558-2020")</f>
        <v/>
      </c>
      <c r="V101">
        <f>HYPERLINK("https://klasma.github.io/Logging_2161/klagomål/A 7558-2020.docx", "A 7558-2020")</f>
        <v/>
      </c>
      <c r="W101">
        <f>HYPERLINK("https://klasma.github.io/Logging_2161/klagomålsmail/A 7558-2020.docx", "A 7558-2020")</f>
        <v/>
      </c>
      <c r="X101">
        <f>HYPERLINK("https://klasma.github.io/Logging_2161/tillsyn/A 7558-2020.docx", "A 7558-2020")</f>
        <v/>
      </c>
      <c r="Y101">
        <f>HYPERLINK("https://klasma.github.io/Logging_2161/tillsynsmail/A 7558-2020.docx", "A 7558-2020")</f>
        <v/>
      </c>
    </row>
    <row r="102" ht="15" customHeight="1">
      <c r="A102" t="inlineStr">
        <is>
          <t>A 24470-2020</t>
        </is>
      </c>
      <c r="B102" s="1" t="n">
        <v>43977</v>
      </c>
      <c r="C102" s="1" t="n">
        <v>45209</v>
      </c>
      <c r="D102" t="inlineStr">
        <is>
          <t>GÄVLEBORGS LÄN</t>
        </is>
      </c>
      <c r="E102" t="inlineStr">
        <is>
          <t>LJUSDAL</t>
        </is>
      </c>
      <c r="F102" t="inlineStr">
        <is>
          <t>Naturvårdsverket</t>
        </is>
      </c>
      <c r="G102" t="n">
        <v>2.5</v>
      </c>
      <c r="H102" t="n">
        <v>1</v>
      </c>
      <c r="I102" t="n">
        <v>0</v>
      </c>
      <c r="J102" t="n">
        <v>2</v>
      </c>
      <c r="K102" t="n">
        <v>0</v>
      </c>
      <c r="L102" t="n">
        <v>0</v>
      </c>
      <c r="M102" t="n">
        <v>0</v>
      </c>
      <c r="N102" t="n">
        <v>0</v>
      </c>
      <c r="O102" t="n">
        <v>2</v>
      </c>
      <c r="P102" t="n">
        <v>0</v>
      </c>
      <c r="Q102" t="n">
        <v>3</v>
      </c>
      <c r="R102" s="2" t="inlineStr">
        <is>
          <t>Garnlav
Mörk kolflarnlav
Nattviol</t>
        </is>
      </c>
      <c r="S102">
        <f>HYPERLINK("https://klasma.github.io/Logging_2161/artfynd/A 24470-2020.xlsx", "A 24470-2020")</f>
        <v/>
      </c>
      <c r="T102">
        <f>HYPERLINK("https://klasma.github.io/Logging_2161/kartor/A 24470-2020.png", "A 24470-2020")</f>
        <v/>
      </c>
      <c r="V102">
        <f>HYPERLINK("https://klasma.github.io/Logging_2161/klagomål/A 24470-2020.docx", "A 24470-2020")</f>
        <v/>
      </c>
      <c r="W102">
        <f>HYPERLINK("https://klasma.github.io/Logging_2161/klagomålsmail/A 24470-2020.docx", "A 24470-2020")</f>
        <v/>
      </c>
      <c r="X102">
        <f>HYPERLINK("https://klasma.github.io/Logging_2161/tillsyn/A 24470-2020.docx", "A 24470-2020")</f>
        <v/>
      </c>
      <c r="Y102">
        <f>HYPERLINK("https://klasma.github.io/Logging_2161/tillsynsmail/A 24470-2020.docx", "A 24470-2020")</f>
        <v/>
      </c>
    </row>
    <row r="103" ht="15" customHeight="1">
      <c r="A103" t="inlineStr">
        <is>
          <t>A 33767-2020</t>
        </is>
      </c>
      <c r="B103" s="1" t="n">
        <v>44026</v>
      </c>
      <c r="C103" s="1" t="n">
        <v>45209</v>
      </c>
      <c r="D103" t="inlineStr">
        <is>
          <t>GÄVLEBORGS LÄN</t>
        </is>
      </c>
      <c r="E103" t="inlineStr">
        <is>
          <t>SÖDERHAMN</t>
        </is>
      </c>
      <c r="G103" t="n">
        <v>5.3</v>
      </c>
      <c r="H103" t="n">
        <v>2</v>
      </c>
      <c r="I103" t="n">
        <v>1</v>
      </c>
      <c r="J103" t="n">
        <v>0</v>
      </c>
      <c r="K103" t="n">
        <v>1</v>
      </c>
      <c r="L103" t="n">
        <v>0</v>
      </c>
      <c r="M103" t="n">
        <v>0</v>
      </c>
      <c r="N103" t="n">
        <v>0</v>
      </c>
      <c r="O103" t="n">
        <v>1</v>
      </c>
      <c r="P103" t="n">
        <v>1</v>
      </c>
      <c r="Q103" t="n">
        <v>3</v>
      </c>
      <c r="R103" s="2" t="inlineStr">
        <is>
          <t>Knärot
Bollvitmossa
Revlummer</t>
        </is>
      </c>
      <c r="S103">
        <f>HYPERLINK("https://klasma.github.io/Logging_2182/artfynd/A 33767-2020.xlsx", "A 33767-2020")</f>
        <v/>
      </c>
      <c r="T103">
        <f>HYPERLINK("https://klasma.github.io/Logging_2182/kartor/A 33767-2020.png", "A 33767-2020")</f>
        <v/>
      </c>
      <c r="U103">
        <f>HYPERLINK("https://klasma.github.io/Logging_2182/knärot/A 33767-2020.png", "A 33767-2020")</f>
        <v/>
      </c>
      <c r="V103">
        <f>HYPERLINK("https://klasma.github.io/Logging_2182/klagomål/A 33767-2020.docx", "A 33767-2020")</f>
        <v/>
      </c>
      <c r="W103">
        <f>HYPERLINK("https://klasma.github.io/Logging_2182/klagomålsmail/A 33767-2020.docx", "A 33767-2020")</f>
        <v/>
      </c>
      <c r="X103">
        <f>HYPERLINK("https://klasma.github.io/Logging_2182/tillsyn/A 33767-2020.docx", "A 33767-2020")</f>
        <v/>
      </c>
      <c r="Y103">
        <f>HYPERLINK("https://klasma.github.io/Logging_2182/tillsynsmail/A 33767-2020.docx", "A 33767-2020")</f>
        <v/>
      </c>
    </row>
    <row r="104" ht="15" customHeight="1">
      <c r="A104" t="inlineStr">
        <is>
          <t>A 56674-2020</t>
        </is>
      </c>
      <c r="B104" s="1" t="n">
        <v>44137</v>
      </c>
      <c r="C104" s="1" t="n">
        <v>45209</v>
      </c>
      <c r="D104" t="inlineStr">
        <is>
          <t>GÄVLEBORGS LÄN</t>
        </is>
      </c>
      <c r="E104" t="inlineStr">
        <is>
          <t>LJUSDAL</t>
        </is>
      </c>
      <c r="G104" t="n">
        <v>11</v>
      </c>
      <c r="H104" t="n">
        <v>1</v>
      </c>
      <c r="I104" t="n">
        <v>2</v>
      </c>
      <c r="J104" t="n">
        <v>0</v>
      </c>
      <c r="K104" t="n">
        <v>1</v>
      </c>
      <c r="L104" t="n">
        <v>0</v>
      </c>
      <c r="M104" t="n">
        <v>0</v>
      </c>
      <c r="N104" t="n">
        <v>0</v>
      </c>
      <c r="O104" t="n">
        <v>1</v>
      </c>
      <c r="P104" t="n">
        <v>1</v>
      </c>
      <c r="Q104" t="n">
        <v>3</v>
      </c>
      <c r="R104" s="2" t="inlineStr">
        <is>
          <t>Knärot
Korallblylav
Mörk husmossa</t>
        </is>
      </c>
      <c r="S104">
        <f>HYPERLINK("https://klasma.github.io/Logging_2161/artfynd/A 56674-2020.xlsx", "A 56674-2020")</f>
        <v/>
      </c>
      <c r="T104">
        <f>HYPERLINK("https://klasma.github.io/Logging_2161/kartor/A 56674-2020.png", "A 56674-2020")</f>
        <v/>
      </c>
      <c r="U104">
        <f>HYPERLINK("https://klasma.github.io/Logging_2161/knärot/A 56674-2020.png", "A 56674-2020")</f>
        <v/>
      </c>
      <c r="V104">
        <f>HYPERLINK("https://klasma.github.io/Logging_2161/klagomål/A 56674-2020.docx", "A 56674-2020")</f>
        <v/>
      </c>
      <c r="W104">
        <f>HYPERLINK("https://klasma.github.io/Logging_2161/klagomålsmail/A 56674-2020.docx", "A 56674-2020")</f>
        <v/>
      </c>
      <c r="X104">
        <f>HYPERLINK("https://klasma.github.io/Logging_2161/tillsyn/A 56674-2020.docx", "A 56674-2020")</f>
        <v/>
      </c>
      <c r="Y104">
        <f>HYPERLINK("https://klasma.github.io/Logging_2161/tillsynsmail/A 56674-2020.docx", "A 56674-2020")</f>
        <v/>
      </c>
    </row>
    <row r="105" ht="15" customHeight="1">
      <c r="A105" t="inlineStr">
        <is>
          <t>A 60162-2020</t>
        </is>
      </c>
      <c r="B105" s="1" t="n">
        <v>44152</v>
      </c>
      <c r="C105" s="1" t="n">
        <v>45209</v>
      </c>
      <c r="D105" t="inlineStr">
        <is>
          <t>GÄVLEBORGS LÄN</t>
        </is>
      </c>
      <c r="E105" t="inlineStr">
        <is>
          <t>LJUSDAL</t>
        </is>
      </c>
      <c r="F105" t="inlineStr">
        <is>
          <t>Sveaskog</t>
        </is>
      </c>
      <c r="G105" t="n">
        <v>8.4</v>
      </c>
      <c r="H105" t="n">
        <v>0</v>
      </c>
      <c r="I105" t="n">
        <v>0</v>
      </c>
      <c r="J105" t="n">
        <v>3</v>
      </c>
      <c r="K105" t="n">
        <v>0</v>
      </c>
      <c r="L105" t="n">
        <v>0</v>
      </c>
      <c r="M105" t="n">
        <v>0</v>
      </c>
      <c r="N105" t="n">
        <v>0</v>
      </c>
      <c r="O105" t="n">
        <v>3</v>
      </c>
      <c r="P105" t="n">
        <v>0</v>
      </c>
      <c r="Q105" t="n">
        <v>3</v>
      </c>
      <c r="R105" s="2" t="inlineStr">
        <is>
          <t>Kolflarnlav
Lunglav
Skrovellav</t>
        </is>
      </c>
      <c r="S105">
        <f>HYPERLINK("https://klasma.github.io/Logging_2161/artfynd/A 60162-2020.xlsx", "A 60162-2020")</f>
        <v/>
      </c>
      <c r="T105">
        <f>HYPERLINK("https://klasma.github.io/Logging_2161/kartor/A 60162-2020.png", "A 60162-2020")</f>
        <v/>
      </c>
      <c r="V105">
        <f>HYPERLINK("https://klasma.github.io/Logging_2161/klagomål/A 60162-2020.docx", "A 60162-2020")</f>
        <v/>
      </c>
      <c r="W105">
        <f>HYPERLINK("https://klasma.github.io/Logging_2161/klagomålsmail/A 60162-2020.docx", "A 60162-2020")</f>
        <v/>
      </c>
      <c r="X105">
        <f>HYPERLINK("https://klasma.github.io/Logging_2161/tillsyn/A 60162-2020.docx", "A 60162-2020")</f>
        <v/>
      </c>
      <c r="Y105">
        <f>HYPERLINK("https://klasma.github.io/Logging_2161/tillsynsmail/A 60162-2020.docx", "A 60162-2020")</f>
        <v/>
      </c>
    </row>
    <row r="106" ht="15" customHeight="1">
      <c r="A106" t="inlineStr">
        <is>
          <t>A 64591-2020</t>
        </is>
      </c>
      <c r="B106" s="1" t="n">
        <v>44169</v>
      </c>
      <c r="C106" s="1" t="n">
        <v>45209</v>
      </c>
      <c r="D106" t="inlineStr">
        <is>
          <t>GÄVLEBORGS LÄN</t>
        </is>
      </c>
      <c r="E106" t="inlineStr">
        <is>
          <t>LJUSDAL</t>
        </is>
      </c>
      <c r="F106" t="inlineStr">
        <is>
          <t>Bergvik skog väst AB</t>
        </is>
      </c>
      <c r="G106" t="n">
        <v>3.5</v>
      </c>
      <c r="H106" t="n">
        <v>0</v>
      </c>
      <c r="I106" t="n">
        <v>2</v>
      </c>
      <c r="J106" t="n">
        <v>1</v>
      </c>
      <c r="K106" t="n">
        <v>0</v>
      </c>
      <c r="L106" t="n">
        <v>0</v>
      </c>
      <c r="M106" t="n">
        <v>0</v>
      </c>
      <c r="N106" t="n">
        <v>0</v>
      </c>
      <c r="O106" t="n">
        <v>1</v>
      </c>
      <c r="P106" t="n">
        <v>0</v>
      </c>
      <c r="Q106" t="n">
        <v>3</v>
      </c>
      <c r="R106" s="2" t="inlineStr">
        <is>
          <t>Kandelabersvamp
Aspvedgnagare
Skinnlav</t>
        </is>
      </c>
      <c r="S106">
        <f>HYPERLINK("https://klasma.github.io/Logging_2161/artfynd/A 64591-2020.xlsx", "A 64591-2020")</f>
        <v/>
      </c>
      <c r="T106">
        <f>HYPERLINK("https://klasma.github.io/Logging_2161/kartor/A 64591-2020.png", "A 64591-2020")</f>
        <v/>
      </c>
      <c r="V106">
        <f>HYPERLINK("https://klasma.github.io/Logging_2161/klagomål/A 64591-2020.docx", "A 64591-2020")</f>
        <v/>
      </c>
      <c r="W106">
        <f>HYPERLINK("https://klasma.github.io/Logging_2161/klagomålsmail/A 64591-2020.docx", "A 64591-2020")</f>
        <v/>
      </c>
      <c r="X106">
        <f>HYPERLINK("https://klasma.github.io/Logging_2161/tillsyn/A 64591-2020.docx", "A 64591-2020")</f>
        <v/>
      </c>
      <c r="Y106">
        <f>HYPERLINK("https://klasma.github.io/Logging_2161/tillsynsmail/A 64591-2020.docx", "A 64591-2020")</f>
        <v/>
      </c>
    </row>
    <row r="107" ht="15" customHeight="1">
      <c r="A107" t="inlineStr">
        <is>
          <t>A 22461-2021</t>
        </is>
      </c>
      <c r="B107" s="1" t="n">
        <v>44326</v>
      </c>
      <c r="C107" s="1" t="n">
        <v>45209</v>
      </c>
      <c r="D107" t="inlineStr">
        <is>
          <t>GÄVLEBORGS LÄN</t>
        </is>
      </c>
      <c r="E107" t="inlineStr">
        <is>
          <t>LJUSDAL</t>
        </is>
      </c>
      <c r="F107" t="inlineStr">
        <is>
          <t>Sveaskog</t>
        </is>
      </c>
      <c r="G107" t="n">
        <v>7.1</v>
      </c>
      <c r="H107" t="n">
        <v>1</v>
      </c>
      <c r="I107" t="n">
        <v>1</v>
      </c>
      <c r="J107" t="n">
        <v>1</v>
      </c>
      <c r="K107" t="n">
        <v>0</v>
      </c>
      <c r="L107" t="n">
        <v>0</v>
      </c>
      <c r="M107" t="n">
        <v>0</v>
      </c>
      <c r="N107" t="n">
        <v>0</v>
      </c>
      <c r="O107" t="n">
        <v>1</v>
      </c>
      <c r="P107" t="n">
        <v>0</v>
      </c>
      <c r="Q107" t="n">
        <v>3</v>
      </c>
      <c r="R107" s="2" t="inlineStr">
        <is>
          <t>Lunglav
Stuplav
Revlummer</t>
        </is>
      </c>
      <c r="S107">
        <f>HYPERLINK("https://klasma.github.io/Logging_2161/artfynd/A 22461-2021.xlsx", "A 22461-2021")</f>
        <v/>
      </c>
      <c r="T107">
        <f>HYPERLINK("https://klasma.github.io/Logging_2161/kartor/A 22461-2021.png", "A 22461-2021")</f>
        <v/>
      </c>
      <c r="V107">
        <f>HYPERLINK("https://klasma.github.io/Logging_2161/klagomål/A 22461-2021.docx", "A 22461-2021")</f>
        <v/>
      </c>
      <c r="W107">
        <f>HYPERLINK("https://klasma.github.io/Logging_2161/klagomålsmail/A 22461-2021.docx", "A 22461-2021")</f>
        <v/>
      </c>
      <c r="X107">
        <f>HYPERLINK("https://klasma.github.io/Logging_2161/tillsyn/A 22461-2021.docx", "A 22461-2021")</f>
        <v/>
      </c>
      <c r="Y107">
        <f>HYPERLINK("https://klasma.github.io/Logging_2161/tillsynsmail/A 22461-2021.docx", "A 22461-2021")</f>
        <v/>
      </c>
    </row>
    <row r="108" ht="15" customHeight="1">
      <c r="A108" t="inlineStr">
        <is>
          <t>A 34590-2021</t>
        </is>
      </c>
      <c r="B108" s="1" t="n">
        <v>44382</v>
      </c>
      <c r="C108" s="1" t="n">
        <v>45209</v>
      </c>
      <c r="D108" t="inlineStr">
        <is>
          <t>GÄVLEBORGS LÄN</t>
        </is>
      </c>
      <c r="E108" t="inlineStr">
        <is>
          <t>BOLLNÄS</t>
        </is>
      </c>
      <c r="F108" t="inlineStr">
        <is>
          <t>Bergvik skog väst AB</t>
        </is>
      </c>
      <c r="G108" t="n">
        <v>5.6</v>
      </c>
      <c r="H108" t="n">
        <v>2</v>
      </c>
      <c r="I108" t="n">
        <v>1</v>
      </c>
      <c r="J108" t="n">
        <v>0</v>
      </c>
      <c r="K108" t="n">
        <v>0</v>
      </c>
      <c r="L108" t="n">
        <v>0</v>
      </c>
      <c r="M108" t="n">
        <v>0</v>
      </c>
      <c r="N108" t="n">
        <v>0</v>
      </c>
      <c r="O108" t="n">
        <v>0</v>
      </c>
      <c r="P108" t="n">
        <v>0</v>
      </c>
      <c r="Q108" t="n">
        <v>3</v>
      </c>
      <c r="R108" s="2" t="inlineStr">
        <is>
          <t>Tibast
Brudsporre
Fläcknycklar</t>
        </is>
      </c>
      <c r="S108">
        <f>HYPERLINK("https://klasma.github.io/Logging_2183/artfynd/A 34590-2021.xlsx", "A 34590-2021")</f>
        <v/>
      </c>
      <c r="T108">
        <f>HYPERLINK("https://klasma.github.io/Logging_2183/kartor/A 34590-2021.png", "A 34590-2021")</f>
        <v/>
      </c>
      <c r="V108">
        <f>HYPERLINK("https://klasma.github.io/Logging_2183/klagomål/A 34590-2021.docx", "A 34590-2021")</f>
        <v/>
      </c>
      <c r="W108">
        <f>HYPERLINK("https://klasma.github.io/Logging_2183/klagomålsmail/A 34590-2021.docx", "A 34590-2021")</f>
        <v/>
      </c>
      <c r="X108">
        <f>HYPERLINK("https://klasma.github.io/Logging_2183/tillsyn/A 34590-2021.docx", "A 34590-2021")</f>
        <v/>
      </c>
      <c r="Y108">
        <f>HYPERLINK("https://klasma.github.io/Logging_2183/tillsynsmail/A 34590-2021.docx", "A 34590-2021")</f>
        <v/>
      </c>
    </row>
    <row r="109" ht="15" customHeight="1">
      <c r="A109" t="inlineStr">
        <is>
          <t>A 49922-2021</t>
        </is>
      </c>
      <c r="B109" s="1" t="n">
        <v>44455</v>
      </c>
      <c r="C109" s="1" t="n">
        <v>45209</v>
      </c>
      <c r="D109" t="inlineStr">
        <is>
          <t>GÄVLEBORGS LÄN</t>
        </is>
      </c>
      <c r="E109" t="inlineStr">
        <is>
          <t>HUDIKSVALL</t>
        </is>
      </c>
      <c r="G109" t="n">
        <v>4.5</v>
      </c>
      <c r="H109" t="n">
        <v>0</v>
      </c>
      <c r="I109" t="n">
        <v>3</v>
      </c>
      <c r="J109" t="n">
        <v>0</v>
      </c>
      <c r="K109" t="n">
        <v>0</v>
      </c>
      <c r="L109" t="n">
        <v>0</v>
      </c>
      <c r="M109" t="n">
        <v>0</v>
      </c>
      <c r="N109" t="n">
        <v>0</v>
      </c>
      <c r="O109" t="n">
        <v>0</v>
      </c>
      <c r="P109" t="n">
        <v>0</v>
      </c>
      <c r="Q109" t="n">
        <v>3</v>
      </c>
      <c r="R109" s="2" t="inlineStr">
        <is>
          <t>Kattfotslav
Korallblylav
Skinnlav</t>
        </is>
      </c>
      <c r="S109">
        <f>HYPERLINK("https://klasma.github.io/Logging_2184/artfynd/A 49922-2021.xlsx", "A 49922-2021")</f>
        <v/>
      </c>
      <c r="T109">
        <f>HYPERLINK("https://klasma.github.io/Logging_2184/kartor/A 49922-2021.png", "A 49922-2021")</f>
        <v/>
      </c>
      <c r="V109">
        <f>HYPERLINK("https://klasma.github.io/Logging_2184/klagomål/A 49922-2021.docx", "A 49922-2021")</f>
        <v/>
      </c>
      <c r="W109">
        <f>HYPERLINK("https://klasma.github.io/Logging_2184/klagomålsmail/A 49922-2021.docx", "A 49922-2021")</f>
        <v/>
      </c>
      <c r="X109">
        <f>HYPERLINK("https://klasma.github.io/Logging_2184/tillsyn/A 49922-2021.docx", "A 49922-2021")</f>
        <v/>
      </c>
      <c r="Y109">
        <f>HYPERLINK("https://klasma.github.io/Logging_2184/tillsynsmail/A 49922-2021.docx", "A 49922-2021")</f>
        <v/>
      </c>
    </row>
    <row r="110" ht="15" customHeight="1">
      <c r="A110" t="inlineStr">
        <is>
          <t>A 10436-2022</t>
        </is>
      </c>
      <c r="B110" s="1" t="n">
        <v>44623</v>
      </c>
      <c r="C110" s="1" t="n">
        <v>45209</v>
      </c>
      <c r="D110" t="inlineStr">
        <is>
          <t>GÄVLEBORGS LÄN</t>
        </is>
      </c>
      <c r="E110" t="inlineStr">
        <is>
          <t>HOFORS</t>
        </is>
      </c>
      <c r="G110" t="n">
        <v>6.3</v>
      </c>
      <c r="H110" t="n">
        <v>1</v>
      </c>
      <c r="I110" t="n">
        <v>2</v>
      </c>
      <c r="J110" t="n">
        <v>0</v>
      </c>
      <c r="K110" t="n">
        <v>1</v>
      </c>
      <c r="L110" t="n">
        <v>0</v>
      </c>
      <c r="M110" t="n">
        <v>0</v>
      </c>
      <c r="N110" t="n">
        <v>0</v>
      </c>
      <c r="O110" t="n">
        <v>1</v>
      </c>
      <c r="P110" t="n">
        <v>1</v>
      </c>
      <c r="Q110" t="n">
        <v>3</v>
      </c>
      <c r="R110" s="2" t="inlineStr">
        <is>
          <t>Knärot
Björksplintborre
Vedticka</t>
        </is>
      </c>
      <c r="S110">
        <f>HYPERLINK("https://klasma.github.io/Logging_2104/artfynd/A 10436-2022.xlsx", "A 10436-2022")</f>
        <v/>
      </c>
      <c r="T110">
        <f>HYPERLINK("https://klasma.github.io/Logging_2104/kartor/A 10436-2022.png", "A 10436-2022")</f>
        <v/>
      </c>
      <c r="U110">
        <f>HYPERLINK("https://klasma.github.io/Logging_2104/knärot/A 10436-2022.png", "A 10436-2022")</f>
        <v/>
      </c>
      <c r="V110">
        <f>HYPERLINK("https://klasma.github.io/Logging_2104/klagomål/A 10436-2022.docx", "A 10436-2022")</f>
        <v/>
      </c>
      <c r="W110">
        <f>HYPERLINK("https://klasma.github.io/Logging_2104/klagomålsmail/A 10436-2022.docx", "A 10436-2022")</f>
        <v/>
      </c>
      <c r="X110">
        <f>HYPERLINK("https://klasma.github.io/Logging_2104/tillsyn/A 10436-2022.docx", "A 10436-2022")</f>
        <v/>
      </c>
      <c r="Y110">
        <f>HYPERLINK("https://klasma.github.io/Logging_2104/tillsynsmail/A 10436-2022.docx", "A 10436-2022")</f>
        <v/>
      </c>
    </row>
    <row r="111" ht="15" customHeight="1">
      <c r="A111" t="inlineStr">
        <is>
          <t>A 21538-2022</t>
        </is>
      </c>
      <c r="B111" s="1" t="n">
        <v>44706</v>
      </c>
      <c r="C111" s="1" t="n">
        <v>45209</v>
      </c>
      <c r="D111" t="inlineStr">
        <is>
          <t>GÄVLEBORGS LÄN</t>
        </is>
      </c>
      <c r="E111" t="inlineStr">
        <is>
          <t>LJUSDAL</t>
        </is>
      </c>
      <c r="F111" t="inlineStr">
        <is>
          <t>Sveaskog</t>
        </is>
      </c>
      <c r="G111" t="n">
        <v>2.3</v>
      </c>
      <c r="H111" t="n">
        <v>0</v>
      </c>
      <c r="I111" t="n">
        <v>1</v>
      </c>
      <c r="J111" t="n">
        <v>2</v>
      </c>
      <c r="K111" t="n">
        <v>0</v>
      </c>
      <c r="L111" t="n">
        <v>0</v>
      </c>
      <c r="M111" t="n">
        <v>0</v>
      </c>
      <c r="N111" t="n">
        <v>0</v>
      </c>
      <c r="O111" t="n">
        <v>2</v>
      </c>
      <c r="P111" t="n">
        <v>0</v>
      </c>
      <c r="Q111" t="n">
        <v>3</v>
      </c>
      <c r="R111" s="2" t="inlineStr">
        <is>
          <t>Kolflarnlav
Mörk kolflarnlav
Dropptaggsvamp</t>
        </is>
      </c>
      <c r="S111">
        <f>HYPERLINK("https://klasma.github.io/Logging_2161/artfynd/A 21538-2022.xlsx", "A 21538-2022")</f>
        <v/>
      </c>
      <c r="T111">
        <f>HYPERLINK("https://klasma.github.io/Logging_2161/kartor/A 21538-2022.png", "A 21538-2022")</f>
        <v/>
      </c>
      <c r="V111">
        <f>HYPERLINK("https://klasma.github.io/Logging_2161/klagomål/A 21538-2022.docx", "A 21538-2022")</f>
        <v/>
      </c>
      <c r="W111">
        <f>HYPERLINK("https://klasma.github.io/Logging_2161/klagomålsmail/A 21538-2022.docx", "A 21538-2022")</f>
        <v/>
      </c>
      <c r="X111">
        <f>HYPERLINK("https://klasma.github.io/Logging_2161/tillsyn/A 21538-2022.docx", "A 21538-2022")</f>
        <v/>
      </c>
      <c r="Y111">
        <f>HYPERLINK("https://klasma.github.io/Logging_2161/tillsynsmail/A 21538-2022.docx", "A 21538-2022")</f>
        <v/>
      </c>
    </row>
    <row r="112" ht="15" customHeight="1">
      <c r="A112" t="inlineStr">
        <is>
          <t>A 21797-2022</t>
        </is>
      </c>
      <c r="B112" s="1" t="n">
        <v>44708</v>
      </c>
      <c r="C112" s="1" t="n">
        <v>45209</v>
      </c>
      <c r="D112" t="inlineStr">
        <is>
          <t>GÄVLEBORGS LÄN</t>
        </is>
      </c>
      <c r="E112" t="inlineStr">
        <is>
          <t>LJUSDAL</t>
        </is>
      </c>
      <c r="F112" t="inlineStr">
        <is>
          <t>Holmen skog AB</t>
        </is>
      </c>
      <c r="G112" t="n">
        <v>2.5</v>
      </c>
      <c r="H112" t="n">
        <v>0</v>
      </c>
      <c r="I112" t="n">
        <v>2</v>
      </c>
      <c r="J112" t="n">
        <v>1</v>
      </c>
      <c r="K112" t="n">
        <v>0</v>
      </c>
      <c r="L112" t="n">
        <v>0</v>
      </c>
      <c r="M112" t="n">
        <v>0</v>
      </c>
      <c r="N112" t="n">
        <v>0</v>
      </c>
      <c r="O112" t="n">
        <v>1</v>
      </c>
      <c r="P112" t="n">
        <v>0</v>
      </c>
      <c r="Q112" t="n">
        <v>3</v>
      </c>
      <c r="R112" s="2" t="inlineStr">
        <is>
          <t>Ullticka
Skinnlav
Vedticka</t>
        </is>
      </c>
      <c r="S112">
        <f>HYPERLINK("https://klasma.github.io/Logging_2161/artfynd/A 21797-2022.xlsx", "A 21797-2022")</f>
        <v/>
      </c>
      <c r="T112">
        <f>HYPERLINK("https://klasma.github.io/Logging_2161/kartor/A 21797-2022.png", "A 21797-2022")</f>
        <v/>
      </c>
      <c r="V112">
        <f>HYPERLINK("https://klasma.github.io/Logging_2161/klagomål/A 21797-2022.docx", "A 21797-2022")</f>
        <v/>
      </c>
      <c r="W112">
        <f>HYPERLINK("https://klasma.github.io/Logging_2161/klagomålsmail/A 21797-2022.docx", "A 21797-2022")</f>
        <v/>
      </c>
      <c r="X112">
        <f>HYPERLINK("https://klasma.github.io/Logging_2161/tillsyn/A 21797-2022.docx", "A 21797-2022")</f>
        <v/>
      </c>
      <c r="Y112">
        <f>HYPERLINK("https://klasma.github.io/Logging_2161/tillsynsmail/A 21797-2022.docx", "A 21797-2022")</f>
        <v/>
      </c>
    </row>
    <row r="113" ht="15" customHeight="1">
      <c r="A113" t="inlineStr">
        <is>
          <t>A 25129-2022</t>
        </is>
      </c>
      <c r="B113" s="1" t="n">
        <v>44729</v>
      </c>
      <c r="C113" s="1" t="n">
        <v>45209</v>
      </c>
      <c r="D113" t="inlineStr">
        <is>
          <t>GÄVLEBORGS LÄN</t>
        </is>
      </c>
      <c r="E113" t="inlineStr">
        <is>
          <t>BOLLNÄS</t>
        </is>
      </c>
      <c r="F113" t="inlineStr">
        <is>
          <t>Bergvik skog väst AB</t>
        </is>
      </c>
      <c r="G113" t="n">
        <v>27.4</v>
      </c>
      <c r="H113" t="n">
        <v>0</v>
      </c>
      <c r="I113" t="n">
        <v>1</v>
      </c>
      <c r="J113" t="n">
        <v>2</v>
      </c>
      <c r="K113" t="n">
        <v>0</v>
      </c>
      <c r="L113" t="n">
        <v>0</v>
      </c>
      <c r="M113" t="n">
        <v>0</v>
      </c>
      <c r="N113" t="n">
        <v>0</v>
      </c>
      <c r="O113" t="n">
        <v>2</v>
      </c>
      <c r="P113" t="n">
        <v>0</v>
      </c>
      <c r="Q113" t="n">
        <v>3</v>
      </c>
      <c r="R113" s="2" t="inlineStr">
        <is>
          <t>Garnlav
Kortskaftad ärgspik
Nästlav</t>
        </is>
      </c>
      <c r="S113">
        <f>HYPERLINK("https://klasma.github.io/Logging_2183/artfynd/A 25129-2022.xlsx", "A 25129-2022")</f>
        <v/>
      </c>
      <c r="T113">
        <f>HYPERLINK("https://klasma.github.io/Logging_2183/kartor/A 25129-2022.png", "A 25129-2022")</f>
        <v/>
      </c>
      <c r="V113">
        <f>HYPERLINK("https://klasma.github.io/Logging_2183/klagomål/A 25129-2022.docx", "A 25129-2022")</f>
        <v/>
      </c>
      <c r="W113">
        <f>HYPERLINK("https://klasma.github.io/Logging_2183/klagomålsmail/A 25129-2022.docx", "A 25129-2022")</f>
        <v/>
      </c>
      <c r="X113">
        <f>HYPERLINK("https://klasma.github.io/Logging_2183/tillsyn/A 25129-2022.docx", "A 25129-2022")</f>
        <v/>
      </c>
      <c r="Y113">
        <f>HYPERLINK("https://klasma.github.io/Logging_2183/tillsynsmail/A 25129-2022.docx", "A 25129-2022")</f>
        <v/>
      </c>
    </row>
    <row r="114" ht="15" customHeight="1">
      <c r="A114" t="inlineStr">
        <is>
          <t>A 26055-2022</t>
        </is>
      </c>
      <c r="B114" s="1" t="n">
        <v>44734</v>
      </c>
      <c r="C114" s="1" t="n">
        <v>45209</v>
      </c>
      <c r="D114" t="inlineStr">
        <is>
          <t>GÄVLEBORGS LÄN</t>
        </is>
      </c>
      <c r="E114" t="inlineStr">
        <is>
          <t>LJUSDAL</t>
        </is>
      </c>
      <c r="F114" t="inlineStr">
        <is>
          <t>Bergvik skog väst AB</t>
        </is>
      </c>
      <c r="G114" t="n">
        <v>23.3</v>
      </c>
      <c r="H114" t="n">
        <v>0</v>
      </c>
      <c r="I114" t="n">
        <v>0</v>
      </c>
      <c r="J114" t="n">
        <v>2</v>
      </c>
      <c r="K114" t="n">
        <v>1</v>
      </c>
      <c r="L114" t="n">
        <v>0</v>
      </c>
      <c r="M114" t="n">
        <v>0</v>
      </c>
      <c r="N114" t="n">
        <v>0</v>
      </c>
      <c r="O114" t="n">
        <v>3</v>
      </c>
      <c r="P114" t="n">
        <v>1</v>
      </c>
      <c r="Q114" t="n">
        <v>3</v>
      </c>
      <c r="R114" s="2" t="inlineStr">
        <is>
          <t>Aspfjädermossa
Stiftgelélav
Vedtrappmossa</t>
        </is>
      </c>
      <c r="S114">
        <f>HYPERLINK("https://klasma.github.io/Logging_2161/artfynd/A 26055-2022.xlsx", "A 26055-2022")</f>
        <v/>
      </c>
      <c r="T114">
        <f>HYPERLINK("https://klasma.github.io/Logging_2161/kartor/A 26055-2022.png", "A 26055-2022")</f>
        <v/>
      </c>
      <c r="V114">
        <f>HYPERLINK("https://klasma.github.io/Logging_2161/klagomål/A 26055-2022.docx", "A 26055-2022")</f>
        <v/>
      </c>
      <c r="W114">
        <f>HYPERLINK("https://klasma.github.io/Logging_2161/klagomålsmail/A 26055-2022.docx", "A 26055-2022")</f>
        <v/>
      </c>
      <c r="X114">
        <f>HYPERLINK("https://klasma.github.io/Logging_2161/tillsyn/A 26055-2022.docx", "A 26055-2022")</f>
        <v/>
      </c>
      <c r="Y114">
        <f>HYPERLINK("https://klasma.github.io/Logging_2161/tillsynsmail/A 26055-2022.docx", "A 26055-2022")</f>
        <v/>
      </c>
    </row>
    <row r="115" ht="15" customHeight="1">
      <c r="A115" t="inlineStr">
        <is>
          <t>A 40292-2022</t>
        </is>
      </c>
      <c r="B115" s="1" t="n">
        <v>44821</v>
      </c>
      <c r="C115" s="1" t="n">
        <v>45209</v>
      </c>
      <c r="D115" t="inlineStr">
        <is>
          <t>GÄVLEBORGS LÄN</t>
        </is>
      </c>
      <c r="E115" t="inlineStr">
        <is>
          <t>LJUSDAL</t>
        </is>
      </c>
      <c r="F115" t="inlineStr">
        <is>
          <t>Sveaskog</t>
        </is>
      </c>
      <c r="G115" t="n">
        <v>3.1</v>
      </c>
      <c r="H115" t="n">
        <v>0</v>
      </c>
      <c r="I115" t="n">
        <v>1</v>
      </c>
      <c r="J115" t="n">
        <v>2</v>
      </c>
      <c r="K115" t="n">
        <v>0</v>
      </c>
      <c r="L115" t="n">
        <v>0</v>
      </c>
      <c r="M115" t="n">
        <v>0</v>
      </c>
      <c r="N115" t="n">
        <v>0</v>
      </c>
      <c r="O115" t="n">
        <v>2</v>
      </c>
      <c r="P115" t="n">
        <v>0</v>
      </c>
      <c r="Q115" t="n">
        <v>3</v>
      </c>
      <c r="R115" s="2" t="inlineStr">
        <is>
          <t>Kolflarnlav
Mörk kolflarnlav
Dropptaggsvamp</t>
        </is>
      </c>
      <c r="S115">
        <f>HYPERLINK("https://klasma.github.io/Logging_2161/artfynd/A 40292-2022.xlsx", "A 40292-2022")</f>
        <v/>
      </c>
      <c r="T115">
        <f>HYPERLINK("https://klasma.github.io/Logging_2161/kartor/A 40292-2022.png", "A 40292-2022")</f>
        <v/>
      </c>
      <c r="V115">
        <f>HYPERLINK("https://klasma.github.io/Logging_2161/klagomål/A 40292-2022.docx", "A 40292-2022")</f>
        <v/>
      </c>
      <c r="W115">
        <f>HYPERLINK("https://klasma.github.io/Logging_2161/klagomålsmail/A 40292-2022.docx", "A 40292-2022")</f>
        <v/>
      </c>
      <c r="X115">
        <f>HYPERLINK("https://klasma.github.io/Logging_2161/tillsyn/A 40292-2022.docx", "A 40292-2022")</f>
        <v/>
      </c>
      <c r="Y115">
        <f>HYPERLINK("https://klasma.github.io/Logging_2161/tillsynsmail/A 40292-2022.docx", "A 40292-2022")</f>
        <v/>
      </c>
    </row>
    <row r="116" ht="15" customHeight="1">
      <c r="A116" t="inlineStr">
        <is>
          <t>A 54472-2022</t>
        </is>
      </c>
      <c r="B116" s="1" t="n">
        <v>44882</v>
      </c>
      <c r="C116" s="1" t="n">
        <v>45209</v>
      </c>
      <c r="D116" t="inlineStr">
        <is>
          <t>GÄVLEBORGS LÄN</t>
        </is>
      </c>
      <c r="E116" t="inlineStr">
        <is>
          <t>LJUSDAL</t>
        </is>
      </c>
      <c r="F116" t="inlineStr">
        <is>
          <t>Bergvik skog väst AB</t>
        </is>
      </c>
      <c r="G116" t="n">
        <v>3.1</v>
      </c>
      <c r="H116" t="n">
        <v>0</v>
      </c>
      <c r="I116" t="n">
        <v>1</v>
      </c>
      <c r="J116" t="n">
        <v>2</v>
      </c>
      <c r="K116" t="n">
        <v>0</v>
      </c>
      <c r="L116" t="n">
        <v>0</v>
      </c>
      <c r="M116" t="n">
        <v>0</v>
      </c>
      <c r="N116" t="n">
        <v>0</v>
      </c>
      <c r="O116" t="n">
        <v>2</v>
      </c>
      <c r="P116" t="n">
        <v>0</v>
      </c>
      <c r="Q116" t="n">
        <v>3</v>
      </c>
      <c r="R116" s="2" t="inlineStr">
        <is>
          <t>Lunglav
Skrovellav
Källmossa</t>
        </is>
      </c>
      <c r="S116">
        <f>HYPERLINK("https://klasma.github.io/Logging_2161/artfynd/A 54472-2022.xlsx", "A 54472-2022")</f>
        <v/>
      </c>
      <c r="T116">
        <f>HYPERLINK("https://klasma.github.io/Logging_2161/kartor/A 54472-2022.png", "A 54472-2022")</f>
        <v/>
      </c>
      <c r="U116">
        <f>HYPERLINK("https://klasma.github.io/Logging_2161/knärot/A 54472-2022.png", "A 54472-2022")</f>
        <v/>
      </c>
      <c r="V116">
        <f>HYPERLINK("https://klasma.github.io/Logging_2161/klagomål/A 54472-2022.docx", "A 54472-2022")</f>
        <v/>
      </c>
      <c r="W116">
        <f>HYPERLINK("https://klasma.github.io/Logging_2161/klagomålsmail/A 54472-2022.docx", "A 54472-2022")</f>
        <v/>
      </c>
      <c r="X116">
        <f>HYPERLINK("https://klasma.github.io/Logging_2161/tillsyn/A 54472-2022.docx", "A 54472-2022")</f>
        <v/>
      </c>
      <c r="Y116">
        <f>HYPERLINK("https://klasma.github.io/Logging_2161/tillsynsmail/A 54472-2022.docx", "A 54472-2022")</f>
        <v/>
      </c>
    </row>
    <row r="117" ht="15" customHeight="1">
      <c r="A117" t="inlineStr">
        <is>
          <t>A 12105-2023</t>
        </is>
      </c>
      <c r="B117" s="1" t="n">
        <v>44998</v>
      </c>
      <c r="C117" s="1" t="n">
        <v>45209</v>
      </c>
      <c r="D117" t="inlineStr">
        <is>
          <t>GÄVLEBORGS LÄN</t>
        </is>
      </c>
      <c r="E117" t="inlineStr">
        <is>
          <t>LJUSDAL</t>
        </is>
      </c>
      <c r="G117" t="n">
        <v>11.7</v>
      </c>
      <c r="H117" t="n">
        <v>1</v>
      </c>
      <c r="I117" t="n">
        <v>2</v>
      </c>
      <c r="J117" t="n">
        <v>0</v>
      </c>
      <c r="K117" t="n">
        <v>1</v>
      </c>
      <c r="L117" t="n">
        <v>0</v>
      </c>
      <c r="M117" t="n">
        <v>0</v>
      </c>
      <c r="N117" t="n">
        <v>0</v>
      </c>
      <c r="O117" t="n">
        <v>1</v>
      </c>
      <c r="P117" t="n">
        <v>1</v>
      </c>
      <c r="Q117" t="n">
        <v>3</v>
      </c>
      <c r="R117" s="2" t="inlineStr">
        <is>
          <t>Knärot
Korallblylav
Mörk husmossa</t>
        </is>
      </c>
      <c r="S117">
        <f>HYPERLINK("https://klasma.github.io/Logging_2161/artfynd/A 12105-2023.xlsx", "A 12105-2023")</f>
        <v/>
      </c>
      <c r="T117">
        <f>HYPERLINK("https://klasma.github.io/Logging_2161/kartor/A 12105-2023.png", "A 12105-2023")</f>
        <v/>
      </c>
      <c r="U117">
        <f>HYPERLINK("https://klasma.github.io/Logging_2161/knärot/A 12105-2023.png", "A 12105-2023")</f>
        <v/>
      </c>
      <c r="V117">
        <f>HYPERLINK("https://klasma.github.io/Logging_2161/klagomål/A 12105-2023.docx", "A 12105-2023")</f>
        <v/>
      </c>
      <c r="W117">
        <f>HYPERLINK("https://klasma.github.io/Logging_2161/klagomålsmail/A 12105-2023.docx", "A 12105-2023")</f>
        <v/>
      </c>
      <c r="X117">
        <f>HYPERLINK("https://klasma.github.io/Logging_2161/tillsyn/A 12105-2023.docx", "A 12105-2023")</f>
        <v/>
      </c>
      <c r="Y117">
        <f>HYPERLINK("https://klasma.github.io/Logging_2161/tillsynsmail/A 12105-2023.docx", "A 12105-2023")</f>
        <v/>
      </c>
    </row>
    <row r="118" ht="15" customHeight="1">
      <c r="A118" t="inlineStr">
        <is>
          <t>A 31473-2023</t>
        </is>
      </c>
      <c r="B118" s="1" t="n">
        <v>45114</v>
      </c>
      <c r="C118" s="1" t="n">
        <v>45209</v>
      </c>
      <c r="D118" t="inlineStr">
        <is>
          <t>GÄVLEBORGS LÄN</t>
        </is>
      </c>
      <c r="E118" t="inlineStr">
        <is>
          <t>LJUSDAL</t>
        </is>
      </c>
      <c r="F118" t="inlineStr">
        <is>
          <t>Sveaskog</t>
        </is>
      </c>
      <c r="G118" t="n">
        <v>15.5</v>
      </c>
      <c r="H118" t="n">
        <v>1</v>
      </c>
      <c r="I118" t="n">
        <v>1</v>
      </c>
      <c r="J118" t="n">
        <v>2</v>
      </c>
      <c r="K118" t="n">
        <v>0</v>
      </c>
      <c r="L118" t="n">
        <v>0</v>
      </c>
      <c r="M118" t="n">
        <v>0</v>
      </c>
      <c r="N118" t="n">
        <v>0</v>
      </c>
      <c r="O118" t="n">
        <v>2</v>
      </c>
      <c r="P118" t="n">
        <v>0</v>
      </c>
      <c r="Q118" t="n">
        <v>3</v>
      </c>
      <c r="R118" s="2" t="inlineStr">
        <is>
          <t>Kolflarnlav
Lunglav
Plattlummer</t>
        </is>
      </c>
      <c r="S118">
        <f>HYPERLINK("https://klasma.github.io/Logging_2161/artfynd/A 31473-2023.xlsx", "A 31473-2023")</f>
        <v/>
      </c>
      <c r="T118">
        <f>HYPERLINK("https://klasma.github.io/Logging_2161/kartor/A 31473-2023.png", "A 31473-2023")</f>
        <v/>
      </c>
      <c r="V118">
        <f>HYPERLINK("https://klasma.github.io/Logging_2161/klagomål/A 31473-2023.docx", "A 31473-2023")</f>
        <v/>
      </c>
      <c r="W118">
        <f>HYPERLINK("https://klasma.github.io/Logging_2161/klagomålsmail/A 31473-2023.docx", "A 31473-2023")</f>
        <v/>
      </c>
      <c r="X118">
        <f>HYPERLINK("https://klasma.github.io/Logging_2161/tillsyn/A 31473-2023.docx", "A 31473-2023")</f>
        <v/>
      </c>
      <c r="Y118">
        <f>HYPERLINK("https://klasma.github.io/Logging_2161/tillsynsmail/A 31473-2023.docx", "A 31473-2023")</f>
        <v/>
      </c>
    </row>
    <row r="119" ht="15" customHeight="1">
      <c r="A119" t="inlineStr">
        <is>
          <t>A 32677-2023</t>
        </is>
      </c>
      <c r="B119" s="1" t="n">
        <v>45121</v>
      </c>
      <c r="C119" s="1" t="n">
        <v>45209</v>
      </c>
      <c r="D119" t="inlineStr">
        <is>
          <t>GÄVLEBORGS LÄN</t>
        </is>
      </c>
      <c r="E119" t="inlineStr">
        <is>
          <t>GÄVLE</t>
        </is>
      </c>
      <c r="G119" t="n">
        <v>20.7</v>
      </c>
      <c r="H119" t="n">
        <v>1</v>
      </c>
      <c r="I119" t="n">
        <v>1</v>
      </c>
      <c r="J119" t="n">
        <v>0</v>
      </c>
      <c r="K119" t="n">
        <v>1</v>
      </c>
      <c r="L119" t="n">
        <v>0</v>
      </c>
      <c r="M119" t="n">
        <v>0</v>
      </c>
      <c r="N119" t="n">
        <v>0</v>
      </c>
      <c r="O119" t="n">
        <v>1</v>
      </c>
      <c r="P119" t="n">
        <v>1</v>
      </c>
      <c r="Q119" t="n">
        <v>3</v>
      </c>
      <c r="R119" s="2" t="inlineStr">
        <is>
          <t>Glesgröe
Spädstarr
Blåsippa</t>
        </is>
      </c>
      <c r="S119">
        <f>HYPERLINK("https://klasma.github.io/Logging_2180/artfynd/A 32677-2023.xlsx", "A 32677-2023")</f>
        <v/>
      </c>
      <c r="T119">
        <f>HYPERLINK("https://klasma.github.io/Logging_2180/kartor/A 32677-2023.png", "A 32677-2023")</f>
        <v/>
      </c>
      <c r="V119">
        <f>HYPERLINK("https://klasma.github.io/Logging_2180/klagomål/A 32677-2023.docx", "A 32677-2023")</f>
        <v/>
      </c>
      <c r="W119">
        <f>HYPERLINK("https://klasma.github.io/Logging_2180/klagomålsmail/A 32677-2023.docx", "A 32677-2023")</f>
        <v/>
      </c>
      <c r="X119">
        <f>HYPERLINK("https://klasma.github.io/Logging_2180/tillsyn/A 32677-2023.docx", "A 32677-2023")</f>
        <v/>
      </c>
      <c r="Y119">
        <f>HYPERLINK("https://klasma.github.io/Logging_2180/tillsynsmail/A 32677-2023.docx", "A 32677-2023")</f>
        <v/>
      </c>
    </row>
    <row r="120" ht="15" customHeight="1">
      <c r="A120" t="inlineStr">
        <is>
          <t>A 39885-2023</t>
        </is>
      </c>
      <c r="B120" s="1" t="n">
        <v>45168</v>
      </c>
      <c r="C120" s="1" t="n">
        <v>45209</v>
      </c>
      <c r="D120" t="inlineStr">
        <is>
          <t>GÄVLEBORGS LÄN</t>
        </is>
      </c>
      <c r="E120" t="inlineStr">
        <is>
          <t>SÖDERHAMN</t>
        </is>
      </c>
      <c r="G120" t="n">
        <v>2.9</v>
      </c>
      <c r="H120" t="n">
        <v>0</v>
      </c>
      <c r="I120" t="n">
        <v>2</v>
      </c>
      <c r="J120" t="n">
        <v>1</v>
      </c>
      <c r="K120" t="n">
        <v>0</v>
      </c>
      <c r="L120" t="n">
        <v>0</v>
      </c>
      <c r="M120" t="n">
        <v>0</v>
      </c>
      <c r="N120" t="n">
        <v>0</v>
      </c>
      <c r="O120" t="n">
        <v>1</v>
      </c>
      <c r="P120" t="n">
        <v>0</v>
      </c>
      <c r="Q120" t="n">
        <v>3</v>
      </c>
      <c r="R120" s="2" t="inlineStr">
        <is>
          <t>Hapalopilus aurantiacus
Blodticka
Sotriska</t>
        </is>
      </c>
      <c r="S120">
        <f>HYPERLINK("https://klasma.github.io/Logging_2182/artfynd/A 39885-2023.xlsx", "A 39885-2023")</f>
        <v/>
      </c>
      <c r="T120">
        <f>HYPERLINK("https://klasma.github.io/Logging_2182/kartor/A 39885-2023.png", "A 39885-2023")</f>
        <v/>
      </c>
      <c r="V120">
        <f>HYPERLINK("https://klasma.github.io/Logging_2182/klagomål/A 39885-2023.docx", "A 39885-2023")</f>
        <v/>
      </c>
      <c r="W120">
        <f>HYPERLINK("https://klasma.github.io/Logging_2182/klagomålsmail/A 39885-2023.docx", "A 39885-2023")</f>
        <v/>
      </c>
      <c r="X120">
        <f>HYPERLINK("https://klasma.github.io/Logging_2182/tillsyn/A 39885-2023.docx", "A 39885-2023")</f>
        <v/>
      </c>
      <c r="Y120">
        <f>HYPERLINK("https://klasma.github.io/Logging_2182/tillsynsmail/A 39885-2023.docx", "A 39885-2023")</f>
        <v/>
      </c>
    </row>
    <row r="121" ht="15" customHeight="1">
      <c r="A121" t="inlineStr">
        <is>
          <t>A 38216-2018</t>
        </is>
      </c>
      <c r="B121" s="1" t="n">
        <v>43338</v>
      </c>
      <c r="C121" s="1" t="n">
        <v>45209</v>
      </c>
      <c r="D121" t="inlineStr">
        <is>
          <t>GÄVLEBORGS LÄN</t>
        </is>
      </c>
      <c r="E121" t="inlineStr">
        <is>
          <t>LJUSDAL</t>
        </is>
      </c>
      <c r="G121" t="n">
        <v>138</v>
      </c>
      <c r="H121" t="n">
        <v>1</v>
      </c>
      <c r="I121" t="n">
        <v>0</v>
      </c>
      <c r="J121" t="n">
        <v>0</v>
      </c>
      <c r="K121" t="n">
        <v>0</v>
      </c>
      <c r="L121" t="n">
        <v>1</v>
      </c>
      <c r="M121" t="n">
        <v>0</v>
      </c>
      <c r="N121" t="n">
        <v>0</v>
      </c>
      <c r="O121" t="n">
        <v>1</v>
      </c>
      <c r="P121" t="n">
        <v>1</v>
      </c>
      <c r="Q121" t="n">
        <v>2</v>
      </c>
      <c r="R121" s="2" t="inlineStr">
        <is>
          <t>Flodpärlmussla
Myggblomster</t>
        </is>
      </c>
      <c r="S121">
        <f>HYPERLINK("https://klasma.github.io/Logging_2161/artfynd/A 38216-2018.xlsx", "A 38216-2018")</f>
        <v/>
      </c>
      <c r="T121">
        <f>HYPERLINK("https://klasma.github.io/Logging_2161/kartor/A 38216-2018.png", "A 38216-2018")</f>
        <v/>
      </c>
      <c r="V121">
        <f>HYPERLINK("https://klasma.github.io/Logging_2161/klagomål/A 38216-2018.docx", "A 38216-2018")</f>
        <v/>
      </c>
      <c r="W121">
        <f>HYPERLINK("https://klasma.github.io/Logging_2161/klagomålsmail/A 38216-2018.docx", "A 38216-2018")</f>
        <v/>
      </c>
      <c r="X121">
        <f>HYPERLINK("https://klasma.github.io/Logging_2161/tillsyn/A 38216-2018.docx", "A 38216-2018")</f>
        <v/>
      </c>
      <c r="Y121">
        <f>HYPERLINK("https://klasma.github.io/Logging_2161/tillsynsmail/A 38216-2018.docx", "A 38216-2018")</f>
        <v/>
      </c>
    </row>
    <row r="122" ht="15" customHeight="1">
      <c r="A122" t="inlineStr">
        <is>
          <t>A 42763-2018</t>
        </is>
      </c>
      <c r="B122" s="1" t="n">
        <v>43354</v>
      </c>
      <c r="C122" s="1" t="n">
        <v>45209</v>
      </c>
      <c r="D122" t="inlineStr">
        <is>
          <t>GÄVLEBORGS LÄN</t>
        </is>
      </c>
      <c r="E122" t="inlineStr">
        <is>
          <t>LJUSDAL</t>
        </is>
      </c>
      <c r="F122" t="inlineStr">
        <is>
          <t>Holmen skog AB</t>
        </is>
      </c>
      <c r="G122" t="n">
        <v>165.3</v>
      </c>
      <c r="H122" t="n">
        <v>2</v>
      </c>
      <c r="I122" t="n">
        <v>0</v>
      </c>
      <c r="J122" t="n">
        <v>2</v>
      </c>
      <c r="K122" t="n">
        <v>0</v>
      </c>
      <c r="L122" t="n">
        <v>0</v>
      </c>
      <c r="M122" t="n">
        <v>0</v>
      </c>
      <c r="N122" t="n">
        <v>0</v>
      </c>
      <c r="O122" t="n">
        <v>2</v>
      </c>
      <c r="P122" t="n">
        <v>0</v>
      </c>
      <c r="Q122" t="n">
        <v>2</v>
      </c>
      <c r="R122" s="2" t="inlineStr">
        <is>
          <t>Drillsnäppa
Järpe</t>
        </is>
      </c>
      <c r="S122">
        <f>HYPERLINK("https://klasma.github.io/Logging_2161/artfynd/A 42763-2018.xlsx", "A 42763-2018")</f>
        <v/>
      </c>
      <c r="T122">
        <f>HYPERLINK("https://klasma.github.io/Logging_2161/kartor/A 42763-2018.png", "A 42763-2018")</f>
        <v/>
      </c>
      <c r="V122">
        <f>HYPERLINK("https://klasma.github.io/Logging_2161/klagomål/A 42763-2018.docx", "A 42763-2018")</f>
        <v/>
      </c>
      <c r="W122">
        <f>HYPERLINK("https://klasma.github.io/Logging_2161/klagomålsmail/A 42763-2018.docx", "A 42763-2018")</f>
        <v/>
      </c>
      <c r="X122">
        <f>HYPERLINK("https://klasma.github.io/Logging_2161/tillsyn/A 42763-2018.docx", "A 42763-2018")</f>
        <v/>
      </c>
      <c r="Y122">
        <f>HYPERLINK("https://klasma.github.io/Logging_2161/tillsynsmail/A 42763-2018.docx", "A 42763-2018")</f>
        <v/>
      </c>
    </row>
    <row r="123" ht="15" customHeight="1">
      <c r="A123" t="inlineStr">
        <is>
          <t>A 49899-2018</t>
        </is>
      </c>
      <c r="B123" s="1" t="n">
        <v>43377</v>
      </c>
      <c r="C123" s="1" t="n">
        <v>45209</v>
      </c>
      <c r="D123" t="inlineStr">
        <is>
          <t>GÄVLEBORGS LÄN</t>
        </is>
      </c>
      <c r="E123" t="inlineStr">
        <is>
          <t>LJUSDAL</t>
        </is>
      </c>
      <c r="G123" t="n">
        <v>43.6</v>
      </c>
      <c r="H123" t="n">
        <v>2</v>
      </c>
      <c r="I123" t="n">
        <v>0</v>
      </c>
      <c r="J123" t="n">
        <v>0</v>
      </c>
      <c r="K123" t="n">
        <v>0</v>
      </c>
      <c r="L123" t="n">
        <v>1</v>
      </c>
      <c r="M123" t="n">
        <v>0</v>
      </c>
      <c r="N123" t="n">
        <v>0</v>
      </c>
      <c r="O123" t="n">
        <v>1</v>
      </c>
      <c r="P123" t="n">
        <v>1</v>
      </c>
      <c r="Q123" t="n">
        <v>2</v>
      </c>
      <c r="R123" s="2" t="inlineStr">
        <is>
          <t>Mosippa
Mattlummer</t>
        </is>
      </c>
      <c r="S123">
        <f>HYPERLINK("https://klasma.github.io/Logging_2161/artfynd/A 49899-2018.xlsx", "A 49899-2018")</f>
        <v/>
      </c>
      <c r="T123">
        <f>HYPERLINK("https://klasma.github.io/Logging_2161/kartor/A 49899-2018.png", "A 49899-2018")</f>
        <v/>
      </c>
      <c r="V123">
        <f>HYPERLINK("https://klasma.github.io/Logging_2161/klagomål/A 49899-2018.docx", "A 49899-2018")</f>
        <v/>
      </c>
      <c r="W123">
        <f>HYPERLINK("https://klasma.github.io/Logging_2161/klagomålsmail/A 49899-2018.docx", "A 49899-2018")</f>
        <v/>
      </c>
      <c r="X123">
        <f>HYPERLINK("https://klasma.github.io/Logging_2161/tillsyn/A 49899-2018.docx", "A 49899-2018")</f>
        <v/>
      </c>
      <c r="Y123">
        <f>HYPERLINK("https://klasma.github.io/Logging_2161/tillsynsmail/A 49899-2018.docx", "A 49899-2018")</f>
        <v/>
      </c>
    </row>
    <row r="124" ht="15" customHeight="1">
      <c r="A124" t="inlineStr">
        <is>
          <t>A 50872-2018</t>
        </is>
      </c>
      <c r="B124" s="1" t="n">
        <v>43381</v>
      </c>
      <c r="C124" s="1" t="n">
        <v>45209</v>
      </c>
      <c r="D124" t="inlineStr">
        <is>
          <t>GÄVLEBORGS LÄN</t>
        </is>
      </c>
      <c r="E124" t="inlineStr">
        <is>
          <t>LJUSDAL</t>
        </is>
      </c>
      <c r="F124" t="inlineStr">
        <is>
          <t>SCA</t>
        </is>
      </c>
      <c r="G124" t="n">
        <v>19.9</v>
      </c>
      <c r="H124" t="n">
        <v>0</v>
      </c>
      <c r="I124" t="n">
        <v>1</v>
      </c>
      <c r="J124" t="n">
        <v>1</v>
      </c>
      <c r="K124" t="n">
        <v>0</v>
      </c>
      <c r="L124" t="n">
        <v>0</v>
      </c>
      <c r="M124" t="n">
        <v>0</v>
      </c>
      <c r="N124" t="n">
        <v>0</v>
      </c>
      <c r="O124" t="n">
        <v>1</v>
      </c>
      <c r="P124" t="n">
        <v>0</v>
      </c>
      <c r="Q124" t="n">
        <v>2</v>
      </c>
      <c r="R124" s="2" t="inlineStr">
        <is>
          <t>Garnlav
Stor aspticka</t>
        </is>
      </c>
      <c r="S124">
        <f>HYPERLINK("https://klasma.github.io/Logging_2161/artfynd/A 50872-2018.xlsx", "A 50872-2018")</f>
        <v/>
      </c>
      <c r="T124">
        <f>HYPERLINK("https://klasma.github.io/Logging_2161/kartor/A 50872-2018.png", "A 50872-2018")</f>
        <v/>
      </c>
      <c r="V124">
        <f>HYPERLINK("https://klasma.github.io/Logging_2161/klagomål/A 50872-2018.docx", "A 50872-2018")</f>
        <v/>
      </c>
      <c r="W124">
        <f>HYPERLINK("https://klasma.github.io/Logging_2161/klagomålsmail/A 50872-2018.docx", "A 50872-2018")</f>
        <v/>
      </c>
      <c r="X124">
        <f>HYPERLINK("https://klasma.github.io/Logging_2161/tillsyn/A 50872-2018.docx", "A 50872-2018")</f>
        <v/>
      </c>
      <c r="Y124">
        <f>HYPERLINK("https://klasma.github.io/Logging_2161/tillsynsmail/A 50872-2018.docx", "A 50872-2018")</f>
        <v/>
      </c>
    </row>
    <row r="125" ht="15" customHeight="1">
      <c r="A125" t="inlineStr">
        <is>
          <t>A 2528-2019</t>
        </is>
      </c>
      <c r="B125" s="1" t="n">
        <v>43476</v>
      </c>
      <c r="C125" s="1" t="n">
        <v>45209</v>
      </c>
      <c r="D125" t="inlineStr">
        <is>
          <t>GÄVLEBORGS LÄN</t>
        </is>
      </c>
      <c r="E125" t="inlineStr">
        <is>
          <t>LJUSDAL</t>
        </is>
      </c>
      <c r="G125" t="n">
        <v>130.7</v>
      </c>
      <c r="H125" t="n">
        <v>2</v>
      </c>
      <c r="I125" t="n">
        <v>0</v>
      </c>
      <c r="J125" t="n">
        <v>0</v>
      </c>
      <c r="K125" t="n">
        <v>0</v>
      </c>
      <c r="L125" t="n">
        <v>0</v>
      </c>
      <c r="M125" t="n">
        <v>0</v>
      </c>
      <c r="N125" t="n">
        <v>0</v>
      </c>
      <c r="O125" t="n">
        <v>0</v>
      </c>
      <c r="P125" t="n">
        <v>0</v>
      </c>
      <c r="Q125" t="n">
        <v>2</v>
      </c>
      <c r="R125" s="2" t="inlineStr">
        <is>
          <t>Lopplummer
Revlummer</t>
        </is>
      </c>
      <c r="S125">
        <f>HYPERLINK("https://klasma.github.io/Logging_2161/artfynd/A 2528-2019.xlsx", "A 2528-2019")</f>
        <v/>
      </c>
      <c r="T125">
        <f>HYPERLINK("https://klasma.github.io/Logging_2161/kartor/A 2528-2019.png", "A 2528-2019")</f>
        <v/>
      </c>
      <c r="V125">
        <f>HYPERLINK("https://klasma.github.io/Logging_2161/klagomål/A 2528-2019.docx", "A 2528-2019")</f>
        <v/>
      </c>
      <c r="W125">
        <f>HYPERLINK("https://klasma.github.io/Logging_2161/klagomålsmail/A 2528-2019.docx", "A 2528-2019")</f>
        <v/>
      </c>
      <c r="X125">
        <f>HYPERLINK("https://klasma.github.io/Logging_2161/tillsyn/A 2528-2019.docx", "A 2528-2019")</f>
        <v/>
      </c>
      <c r="Y125">
        <f>HYPERLINK("https://klasma.github.io/Logging_2161/tillsynsmail/A 2528-2019.docx", "A 2528-2019")</f>
        <v/>
      </c>
    </row>
    <row r="126" ht="15" customHeight="1">
      <c r="A126" t="inlineStr">
        <is>
          <t>A 17913-2019</t>
        </is>
      </c>
      <c r="B126" s="1" t="n">
        <v>43557</v>
      </c>
      <c r="C126" s="1" t="n">
        <v>45209</v>
      </c>
      <c r="D126" t="inlineStr">
        <is>
          <t>GÄVLEBORGS LÄN</t>
        </is>
      </c>
      <c r="E126" t="inlineStr">
        <is>
          <t>NORDANSTIG</t>
        </is>
      </c>
      <c r="F126" t="inlineStr">
        <is>
          <t>Holmen skog AB</t>
        </is>
      </c>
      <c r="G126" t="n">
        <v>6.6</v>
      </c>
      <c r="H126" t="n">
        <v>1</v>
      </c>
      <c r="I126" t="n">
        <v>1</v>
      </c>
      <c r="J126" t="n">
        <v>0</v>
      </c>
      <c r="K126" t="n">
        <v>0</v>
      </c>
      <c r="L126" t="n">
        <v>0</v>
      </c>
      <c r="M126" t="n">
        <v>0</v>
      </c>
      <c r="N126" t="n">
        <v>0</v>
      </c>
      <c r="O126" t="n">
        <v>0</v>
      </c>
      <c r="P126" t="n">
        <v>0</v>
      </c>
      <c r="Q126" t="n">
        <v>2</v>
      </c>
      <c r="R126" s="2" t="inlineStr">
        <is>
          <t>Skinnlav
Fläcknycklar</t>
        </is>
      </c>
      <c r="S126">
        <f>HYPERLINK("https://klasma.github.io/Logging_2132/artfynd/A 17913-2019.xlsx", "A 17913-2019")</f>
        <v/>
      </c>
      <c r="T126">
        <f>HYPERLINK("https://klasma.github.io/Logging_2132/kartor/A 17913-2019.png", "A 17913-2019")</f>
        <v/>
      </c>
      <c r="V126">
        <f>HYPERLINK("https://klasma.github.io/Logging_2132/klagomål/A 17913-2019.docx", "A 17913-2019")</f>
        <v/>
      </c>
      <c r="W126">
        <f>HYPERLINK("https://klasma.github.io/Logging_2132/klagomålsmail/A 17913-2019.docx", "A 17913-2019")</f>
        <v/>
      </c>
      <c r="X126">
        <f>HYPERLINK("https://klasma.github.io/Logging_2132/tillsyn/A 17913-2019.docx", "A 17913-2019")</f>
        <v/>
      </c>
      <c r="Y126">
        <f>HYPERLINK("https://klasma.github.io/Logging_2132/tillsynsmail/A 17913-2019.docx", "A 17913-2019")</f>
        <v/>
      </c>
    </row>
    <row r="127" ht="15" customHeight="1">
      <c r="A127" t="inlineStr">
        <is>
          <t>A 21731-2019</t>
        </is>
      </c>
      <c r="B127" s="1" t="n">
        <v>43581</v>
      </c>
      <c r="C127" s="1" t="n">
        <v>45209</v>
      </c>
      <c r="D127" t="inlineStr">
        <is>
          <t>GÄVLEBORGS LÄN</t>
        </is>
      </c>
      <c r="E127" t="inlineStr">
        <is>
          <t>HOFORS</t>
        </is>
      </c>
      <c r="F127" t="inlineStr">
        <is>
          <t>Sveaskog</t>
        </is>
      </c>
      <c r="G127" t="n">
        <v>3.8</v>
      </c>
      <c r="H127" t="n">
        <v>2</v>
      </c>
      <c r="I127" t="n">
        <v>1</v>
      </c>
      <c r="J127" t="n">
        <v>0</v>
      </c>
      <c r="K127" t="n">
        <v>0</v>
      </c>
      <c r="L127" t="n">
        <v>0</v>
      </c>
      <c r="M127" t="n">
        <v>0</v>
      </c>
      <c r="N127" t="n">
        <v>0</v>
      </c>
      <c r="O127" t="n">
        <v>0</v>
      </c>
      <c r="P127" t="n">
        <v>0</v>
      </c>
      <c r="Q127" t="n">
        <v>2</v>
      </c>
      <c r="R127" s="2" t="inlineStr">
        <is>
          <t>Tvåblad
Revlummer</t>
        </is>
      </c>
      <c r="S127">
        <f>HYPERLINK("https://klasma.github.io/Logging_2104/artfynd/A 21731-2019.xlsx", "A 21731-2019")</f>
        <v/>
      </c>
      <c r="T127">
        <f>HYPERLINK("https://klasma.github.io/Logging_2104/kartor/A 21731-2019.png", "A 21731-2019")</f>
        <v/>
      </c>
      <c r="U127">
        <f>HYPERLINK("https://klasma.github.io/Logging_2104/knärot/A 21731-2019.png", "A 21731-2019")</f>
        <v/>
      </c>
      <c r="V127">
        <f>HYPERLINK("https://klasma.github.io/Logging_2104/klagomål/A 21731-2019.docx", "A 21731-2019")</f>
        <v/>
      </c>
      <c r="W127">
        <f>HYPERLINK("https://klasma.github.io/Logging_2104/klagomålsmail/A 21731-2019.docx", "A 21731-2019")</f>
        <v/>
      </c>
      <c r="X127">
        <f>HYPERLINK("https://klasma.github.io/Logging_2104/tillsyn/A 21731-2019.docx", "A 21731-2019")</f>
        <v/>
      </c>
      <c r="Y127">
        <f>HYPERLINK("https://klasma.github.io/Logging_2104/tillsynsmail/A 21731-2019.docx", "A 21731-2019")</f>
        <v/>
      </c>
    </row>
    <row r="128" ht="15" customHeight="1">
      <c r="A128" t="inlineStr">
        <is>
          <t>A 29812-2019</t>
        </is>
      </c>
      <c r="B128" s="1" t="n">
        <v>43629</v>
      </c>
      <c r="C128" s="1" t="n">
        <v>45209</v>
      </c>
      <c r="D128" t="inlineStr">
        <is>
          <t>GÄVLEBORGS LÄN</t>
        </is>
      </c>
      <c r="E128" t="inlineStr">
        <is>
          <t>LJUSDAL</t>
        </is>
      </c>
      <c r="F128" t="inlineStr">
        <is>
          <t>Holmen skog AB</t>
        </is>
      </c>
      <c r="G128" t="n">
        <v>2.4</v>
      </c>
      <c r="H128" t="n">
        <v>1</v>
      </c>
      <c r="I128" t="n">
        <v>1</v>
      </c>
      <c r="J128" t="n">
        <v>0</v>
      </c>
      <c r="K128" t="n">
        <v>1</v>
      </c>
      <c r="L128" t="n">
        <v>0</v>
      </c>
      <c r="M128" t="n">
        <v>0</v>
      </c>
      <c r="N128" t="n">
        <v>0</v>
      </c>
      <c r="O128" t="n">
        <v>1</v>
      </c>
      <c r="P128" t="n">
        <v>1</v>
      </c>
      <c r="Q128" t="n">
        <v>2</v>
      </c>
      <c r="R128" s="2" t="inlineStr">
        <is>
          <t>Knärot
Skinnlav</t>
        </is>
      </c>
      <c r="S128">
        <f>HYPERLINK("https://klasma.github.io/Logging_2161/artfynd/A 29812-2019.xlsx", "A 29812-2019")</f>
        <v/>
      </c>
      <c r="T128">
        <f>HYPERLINK("https://klasma.github.io/Logging_2161/kartor/A 29812-2019.png", "A 29812-2019")</f>
        <v/>
      </c>
      <c r="U128">
        <f>HYPERLINK("https://klasma.github.io/Logging_2161/knärot/A 29812-2019.png", "A 29812-2019")</f>
        <v/>
      </c>
      <c r="V128">
        <f>HYPERLINK("https://klasma.github.io/Logging_2161/klagomål/A 29812-2019.docx", "A 29812-2019")</f>
        <v/>
      </c>
      <c r="W128">
        <f>HYPERLINK("https://klasma.github.io/Logging_2161/klagomålsmail/A 29812-2019.docx", "A 29812-2019")</f>
        <v/>
      </c>
      <c r="X128">
        <f>HYPERLINK("https://klasma.github.io/Logging_2161/tillsyn/A 29812-2019.docx", "A 29812-2019")</f>
        <v/>
      </c>
      <c r="Y128">
        <f>HYPERLINK("https://klasma.github.io/Logging_2161/tillsynsmail/A 29812-2019.docx", "A 29812-2019")</f>
        <v/>
      </c>
    </row>
    <row r="129" ht="15" customHeight="1">
      <c r="A129" t="inlineStr">
        <is>
          <t>A 45004-2019</t>
        </is>
      </c>
      <c r="B129" s="1" t="n">
        <v>43713</v>
      </c>
      <c r="C129" s="1" t="n">
        <v>45209</v>
      </c>
      <c r="D129" t="inlineStr">
        <is>
          <t>GÄVLEBORGS LÄN</t>
        </is>
      </c>
      <c r="E129" t="inlineStr">
        <is>
          <t>OVANÅKER</t>
        </is>
      </c>
      <c r="F129" t="inlineStr">
        <is>
          <t>Sveaskog</t>
        </is>
      </c>
      <c r="G129" t="n">
        <v>7.5</v>
      </c>
      <c r="H129" t="n">
        <v>0</v>
      </c>
      <c r="I129" t="n">
        <v>0</v>
      </c>
      <c r="J129" t="n">
        <v>2</v>
      </c>
      <c r="K129" t="n">
        <v>0</v>
      </c>
      <c r="L129" t="n">
        <v>0</v>
      </c>
      <c r="M129" t="n">
        <v>0</v>
      </c>
      <c r="N129" t="n">
        <v>0</v>
      </c>
      <c r="O129" t="n">
        <v>2</v>
      </c>
      <c r="P129" t="n">
        <v>0</v>
      </c>
      <c r="Q129" t="n">
        <v>2</v>
      </c>
      <c r="R129" s="2" t="inlineStr">
        <is>
          <t>Kolflarnlav
Lunglav</t>
        </is>
      </c>
      <c r="S129">
        <f>HYPERLINK("https://klasma.github.io/Logging_2121/artfynd/A 45004-2019.xlsx", "A 45004-2019")</f>
        <v/>
      </c>
      <c r="T129">
        <f>HYPERLINK("https://klasma.github.io/Logging_2121/kartor/A 45004-2019.png", "A 45004-2019")</f>
        <v/>
      </c>
      <c r="V129">
        <f>HYPERLINK("https://klasma.github.io/Logging_2121/klagomål/A 45004-2019.docx", "A 45004-2019")</f>
        <v/>
      </c>
      <c r="W129">
        <f>HYPERLINK("https://klasma.github.io/Logging_2121/klagomålsmail/A 45004-2019.docx", "A 45004-2019")</f>
        <v/>
      </c>
      <c r="X129">
        <f>HYPERLINK("https://klasma.github.io/Logging_2121/tillsyn/A 45004-2019.docx", "A 45004-2019")</f>
        <v/>
      </c>
      <c r="Y129">
        <f>HYPERLINK("https://klasma.github.io/Logging_2121/tillsynsmail/A 45004-2019.docx", "A 45004-2019")</f>
        <v/>
      </c>
    </row>
    <row r="130" ht="15" customHeight="1">
      <c r="A130" t="inlineStr">
        <is>
          <t>A 52965-2019</t>
        </is>
      </c>
      <c r="B130" s="1" t="n">
        <v>43747</v>
      </c>
      <c r="C130" s="1" t="n">
        <v>45209</v>
      </c>
      <c r="D130" t="inlineStr">
        <is>
          <t>GÄVLEBORGS LÄN</t>
        </is>
      </c>
      <c r="E130" t="inlineStr">
        <is>
          <t>OCKELBO</t>
        </is>
      </c>
      <c r="G130" t="n">
        <v>1.6</v>
      </c>
      <c r="H130" t="n">
        <v>1</v>
      </c>
      <c r="I130" t="n">
        <v>1</v>
      </c>
      <c r="J130" t="n">
        <v>0</v>
      </c>
      <c r="K130" t="n">
        <v>0</v>
      </c>
      <c r="L130" t="n">
        <v>0</v>
      </c>
      <c r="M130" t="n">
        <v>0</v>
      </c>
      <c r="N130" t="n">
        <v>0</v>
      </c>
      <c r="O130" t="n">
        <v>0</v>
      </c>
      <c r="P130" t="n">
        <v>0</v>
      </c>
      <c r="Q130" t="n">
        <v>2</v>
      </c>
      <c r="R130" s="2" t="inlineStr">
        <is>
          <t>Större träfjäril
Skogsödla</t>
        </is>
      </c>
      <c r="S130">
        <f>HYPERLINK("https://klasma.github.io/Logging_2101/artfynd/A 52965-2019.xlsx", "A 52965-2019")</f>
        <v/>
      </c>
      <c r="T130">
        <f>HYPERLINK("https://klasma.github.io/Logging_2101/kartor/A 52965-2019.png", "A 52965-2019")</f>
        <v/>
      </c>
      <c r="V130">
        <f>HYPERLINK("https://klasma.github.io/Logging_2101/klagomål/A 52965-2019.docx", "A 52965-2019")</f>
        <v/>
      </c>
      <c r="W130">
        <f>HYPERLINK("https://klasma.github.io/Logging_2101/klagomålsmail/A 52965-2019.docx", "A 52965-2019")</f>
        <v/>
      </c>
      <c r="X130">
        <f>HYPERLINK("https://klasma.github.io/Logging_2101/tillsyn/A 52965-2019.docx", "A 52965-2019")</f>
        <v/>
      </c>
      <c r="Y130">
        <f>HYPERLINK("https://klasma.github.io/Logging_2101/tillsynsmail/A 52965-2019.docx", "A 52965-2019")</f>
        <v/>
      </c>
    </row>
    <row r="131" ht="15" customHeight="1">
      <c r="A131" t="inlineStr">
        <is>
          <t>A 59286-2019</t>
        </is>
      </c>
      <c r="B131" s="1" t="n">
        <v>43775</v>
      </c>
      <c r="C131" s="1" t="n">
        <v>45209</v>
      </c>
      <c r="D131" t="inlineStr">
        <is>
          <t>GÄVLEBORGS LÄN</t>
        </is>
      </c>
      <c r="E131" t="inlineStr">
        <is>
          <t>OCKELBO</t>
        </is>
      </c>
      <c r="G131" t="n">
        <v>2.2</v>
      </c>
      <c r="H131" t="n">
        <v>0</v>
      </c>
      <c r="I131" t="n">
        <v>0</v>
      </c>
      <c r="J131" t="n">
        <v>2</v>
      </c>
      <c r="K131" t="n">
        <v>0</v>
      </c>
      <c r="L131" t="n">
        <v>0</v>
      </c>
      <c r="M131" t="n">
        <v>0</v>
      </c>
      <c r="N131" t="n">
        <v>0</v>
      </c>
      <c r="O131" t="n">
        <v>2</v>
      </c>
      <c r="P131" t="n">
        <v>0</v>
      </c>
      <c r="Q131" t="n">
        <v>2</v>
      </c>
      <c r="R131" s="2" t="inlineStr">
        <is>
          <t>Garnlav
Koralltaggsvamp</t>
        </is>
      </c>
      <c r="S131">
        <f>HYPERLINK("https://klasma.github.io/Logging_2101/artfynd/A 59286-2019.xlsx", "A 59286-2019")</f>
        <v/>
      </c>
      <c r="T131">
        <f>HYPERLINK("https://klasma.github.io/Logging_2101/kartor/A 59286-2019.png", "A 59286-2019")</f>
        <v/>
      </c>
      <c r="V131">
        <f>HYPERLINK("https://klasma.github.io/Logging_2101/klagomål/A 59286-2019.docx", "A 59286-2019")</f>
        <v/>
      </c>
      <c r="W131">
        <f>HYPERLINK("https://klasma.github.io/Logging_2101/klagomålsmail/A 59286-2019.docx", "A 59286-2019")</f>
        <v/>
      </c>
      <c r="X131">
        <f>HYPERLINK("https://klasma.github.io/Logging_2101/tillsyn/A 59286-2019.docx", "A 59286-2019")</f>
        <v/>
      </c>
      <c r="Y131">
        <f>HYPERLINK("https://klasma.github.io/Logging_2101/tillsynsmail/A 59286-2019.docx", "A 59286-2019")</f>
        <v/>
      </c>
    </row>
    <row r="132" ht="15" customHeight="1">
      <c r="A132" t="inlineStr">
        <is>
          <t>A 61372-2019</t>
        </is>
      </c>
      <c r="B132" s="1" t="n">
        <v>43783</v>
      </c>
      <c r="C132" s="1" t="n">
        <v>45209</v>
      </c>
      <c r="D132" t="inlineStr">
        <is>
          <t>GÄVLEBORGS LÄN</t>
        </is>
      </c>
      <c r="E132" t="inlineStr">
        <is>
          <t>BOLLNÄS</t>
        </is>
      </c>
      <c r="F132" t="inlineStr">
        <is>
          <t>Sveaskog</t>
        </is>
      </c>
      <c r="G132" t="n">
        <v>3.2</v>
      </c>
      <c r="H132" t="n">
        <v>1</v>
      </c>
      <c r="I132" t="n">
        <v>0</v>
      </c>
      <c r="J132" t="n">
        <v>1</v>
      </c>
      <c r="K132" t="n">
        <v>1</v>
      </c>
      <c r="L132" t="n">
        <v>0</v>
      </c>
      <c r="M132" t="n">
        <v>0</v>
      </c>
      <c r="N132" t="n">
        <v>0</v>
      </c>
      <c r="O132" t="n">
        <v>2</v>
      </c>
      <c r="P132" t="n">
        <v>1</v>
      </c>
      <c r="Q132" t="n">
        <v>2</v>
      </c>
      <c r="R132" s="2" t="inlineStr">
        <is>
          <t>Knärot
Garnlav</t>
        </is>
      </c>
      <c r="S132">
        <f>HYPERLINK("https://klasma.github.io/Logging_2183/artfynd/A 61372-2019.xlsx", "A 61372-2019")</f>
        <v/>
      </c>
      <c r="T132">
        <f>HYPERLINK("https://klasma.github.io/Logging_2183/kartor/A 61372-2019.png", "A 61372-2019")</f>
        <v/>
      </c>
      <c r="U132">
        <f>HYPERLINK("https://klasma.github.io/Logging_2183/knärot/A 61372-2019.png", "A 61372-2019")</f>
        <v/>
      </c>
      <c r="V132">
        <f>HYPERLINK("https://klasma.github.io/Logging_2183/klagomål/A 61372-2019.docx", "A 61372-2019")</f>
        <v/>
      </c>
      <c r="W132">
        <f>HYPERLINK("https://klasma.github.io/Logging_2183/klagomålsmail/A 61372-2019.docx", "A 61372-2019")</f>
        <v/>
      </c>
      <c r="X132">
        <f>HYPERLINK("https://klasma.github.io/Logging_2183/tillsyn/A 61372-2019.docx", "A 61372-2019")</f>
        <v/>
      </c>
      <c r="Y132">
        <f>HYPERLINK("https://klasma.github.io/Logging_2183/tillsynsmail/A 61372-2019.docx", "A 61372-2019")</f>
        <v/>
      </c>
    </row>
    <row r="133" ht="15" customHeight="1">
      <c r="A133" t="inlineStr">
        <is>
          <t>A 61380-2019</t>
        </is>
      </c>
      <c r="B133" s="1" t="n">
        <v>43783</v>
      </c>
      <c r="C133" s="1" t="n">
        <v>45209</v>
      </c>
      <c r="D133" t="inlineStr">
        <is>
          <t>GÄVLEBORGS LÄN</t>
        </is>
      </c>
      <c r="E133" t="inlineStr">
        <is>
          <t>BOLLNÄS</t>
        </is>
      </c>
      <c r="F133" t="inlineStr">
        <is>
          <t>Sveaskog</t>
        </is>
      </c>
      <c r="G133" t="n">
        <v>6</v>
      </c>
      <c r="H133" t="n">
        <v>1</v>
      </c>
      <c r="I133" t="n">
        <v>1</v>
      </c>
      <c r="J133" t="n">
        <v>0</v>
      </c>
      <c r="K133" t="n">
        <v>1</v>
      </c>
      <c r="L133" t="n">
        <v>0</v>
      </c>
      <c r="M133" t="n">
        <v>0</v>
      </c>
      <c r="N133" t="n">
        <v>0</v>
      </c>
      <c r="O133" t="n">
        <v>1</v>
      </c>
      <c r="P133" t="n">
        <v>1</v>
      </c>
      <c r="Q133" t="n">
        <v>2</v>
      </c>
      <c r="R133" s="2" t="inlineStr">
        <is>
          <t>Knärot
Tibast</t>
        </is>
      </c>
      <c r="S133">
        <f>HYPERLINK("https://klasma.github.io/Logging_2183/artfynd/A 61380-2019.xlsx", "A 61380-2019")</f>
        <v/>
      </c>
      <c r="T133">
        <f>HYPERLINK("https://klasma.github.io/Logging_2183/kartor/A 61380-2019.png", "A 61380-2019")</f>
        <v/>
      </c>
      <c r="U133">
        <f>HYPERLINK("https://klasma.github.io/Logging_2183/knärot/A 61380-2019.png", "A 61380-2019")</f>
        <v/>
      </c>
      <c r="V133">
        <f>HYPERLINK("https://klasma.github.io/Logging_2183/klagomål/A 61380-2019.docx", "A 61380-2019")</f>
        <v/>
      </c>
      <c r="W133">
        <f>HYPERLINK("https://klasma.github.io/Logging_2183/klagomålsmail/A 61380-2019.docx", "A 61380-2019")</f>
        <v/>
      </c>
      <c r="X133">
        <f>HYPERLINK("https://klasma.github.io/Logging_2183/tillsyn/A 61380-2019.docx", "A 61380-2019")</f>
        <v/>
      </c>
      <c r="Y133">
        <f>HYPERLINK("https://klasma.github.io/Logging_2183/tillsynsmail/A 61380-2019.docx", "A 61380-2019")</f>
        <v/>
      </c>
    </row>
    <row r="134" ht="15" customHeight="1">
      <c r="A134" t="inlineStr">
        <is>
          <t>A 61384-2019</t>
        </is>
      </c>
      <c r="B134" s="1" t="n">
        <v>43783</v>
      </c>
      <c r="C134" s="1" t="n">
        <v>45209</v>
      </c>
      <c r="D134" t="inlineStr">
        <is>
          <t>GÄVLEBORGS LÄN</t>
        </is>
      </c>
      <c r="E134" t="inlineStr">
        <is>
          <t>BOLLNÄS</t>
        </is>
      </c>
      <c r="F134" t="inlineStr">
        <is>
          <t>Sveaskog</t>
        </is>
      </c>
      <c r="G134" t="n">
        <v>4.1</v>
      </c>
      <c r="H134" t="n">
        <v>2</v>
      </c>
      <c r="I134" t="n">
        <v>1</v>
      </c>
      <c r="J134" t="n">
        <v>0</v>
      </c>
      <c r="K134" t="n">
        <v>1</v>
      </c>
      <c r="L134" t="n">
        <v>0</v>
      </c>
      <c r="M134" t="n">
        <v>0</v>
      </c>
      <c r="N134" t="n">
        <v>0</v>
      </c>
      <c r="O134" t="n">
        <v>1</v>
      </c>
      <c r="P134" t="n">
        <v>1</v>
      </c>
      <c r="Q134" t="n">
        <v>2</v>
      </c>
      <c r="R134" s="2" t="inlineStr">
        <is>
          <t>Knärot
Korallrot</t>
        </is>
      </c>
      <c r="S134">
        <f>HYPERLINK("https://klasma.github.io/Logging_2183/artfynd/A 61384-2019.xlsx", "A 61384-2019")</f>
        <v/>
      </c>
      <c r="T134">
        <f>HYPERLINK("https://klasma.github.io/Logging_2183/kartor/A 61384-2019.png", "A 61384-2019")</f>
        <v/>
      </c>
      <c r="U134">
        <f>HYPERLINK("https://klasma.github.io/Logging_2183/knärot/A 61384-2019.png", "A 61384-2019")</f>
        <v/>
      </c>
      <c r="V134">
        <f>HYPERLINK("https://klasma.github.io/Logging_2183/klagomål/A 61384-2019.docx", "A 61384-2019")</f>
        <v/>
      </c>
      <c r="W134">
        <f>HYPERLINK("https://klasma.github.io/Logging_2183/klagomålsmail/A 61384-2019.docx", "A 61384-2019")</f>
        <v/>
      </c>
      <c r="X134">
        <f>HYPERLINK("https://klasma.github.io/Logging_2183/tillsyn/A 61384-2019.docx", "A 61384-2019")</f>
        <v/>
      </c>
      <c r="Y134">
        <f>HYPERLINK("https://klasma.github.io/Logging_2183/tillsynsmail/A 61384-2019.docx", "A 61384-2019")</f>
        <v/>
      </c>
    </row>
    <row r="135" ht="15" customHeight="1">
      <c r="A135" t="inlineStr">
        <is>
          <t>A 64630-2019</t>
        </is>
      </c>
      <c r="B135" s="1" t="n">
        <v>43798</v>
      </c>
      <c r="C135" s="1" t="n">
        <v>45209</v>
      </c>
      <c r="D135" t="inlineStr">
        <is>
          <t>GÄVLEBORGS LÄN</t>
        </is>
      </c>
      <c r="E135" t="inlineStr">
        <is>
          <t>SÖDERHAMN</t>
        </is>
      </c>
      <c r="G135" t="n">
        <v>8.300000000000001</v>
      </c>
      <c r="H135" t="n">
        <v>0</v>
      </c>
      <c r="I135" t="n">
        <v>1</v>
      </c>
      <c r="J135" t="n">
        <v>0</v>
      </c>
      <c r="K135" t="n">
        <v>1</v>
      </c>
      <c r="L135" t="n">
        <v>0</v>
      </c>
      <c r="M135" t="n">
        <v>0</v>
      </c>
      <c r="N135" t="n">
        <v>0</v>
      </c>
      <c r="O135" t="n">
        <v>1</v>
      </c>
      <c r="P135" t="n">
        <v>1</v>
      </c>
      <c r="Q135" t="n">
        <v>2</v>
      </c>
      <c r="R135" s="2" t="inlineStr">
        <is>
          <t>Violgubbe
Skarp dropptaggsvamp</t>
        </is>
      </c>
      <c r="S135">
        <f>HYPERLINK("https://klasma.github.io/Logging_2182/artfynd/A 64630-2019.xlsx", "A 64630-2019")</f>
        <v/>
      </c>
      <c r="T135">
        <f>HYPERLINK("https://klasma.github.io/Logging_2182/kartor/A 64630-2019.png", "A 64630-2019")</f>
        <v/>
      </c>
      <c r="V135">
        <f>HYPERLINK("https://klasma.github.io/Logging_2182/klagomål/A 64630-2019.docx", "A 64630-2019")</f>
        <v/>
      </c>
      <c r="W135">
        <f>HYPERLINK("https://klasma.github.io/Logging_2182/klagomålsmail/A 64630-2019.docx", "A 64630-2019")</f>
        <v/>
      </c>
      <c r="X135">
        <f>HYPERLINK("https://klasma.github.io/Logging_2182/tillsyn/A 64630-2019.docx", "A 64630-2019")</f>
        <v/>
      </c>
      <c r="Y135">
        <f>HYPERLINK("https://klasma.github.io/Logging_2182/tillsynsmail/A 64630-2019.docx", "A 64630-2019")</f>
        <v/>
      </c>
    </row>
    <row r="136" ht="15" customHeight="1">
      <c r="A136" t="inlineStr">
        <is>
          <t>A 116-2020</t>
        </is>
      </c>
      <c r="B136" s="1" t="n">
        <v>43832</v>
      </c>
      <c r="C136" s="1" t="n">
        <v>45209</v>
      </c>
      <c r="D136" t="inlineStr">
        <is>
          <t>GÄVLEBORGS LÄN</t>
        </is>
      </c>
      <c r="E136" t="inlineStr">
        <is>
          <t>HUDIKSVALL</t>
        </is>
      </c>
      <c r="G136" t="n">
        <v>7.1</v>
      </c>
      <c r="H136" t="n">
        <v>2</v>
      </c>
      <c r="I136" t="n">
        <v>0</v>
      </c>
      <c r="J136" t="n">
        <v>1</v>
      </c>
      <c r="K136" t="n">
        <v>0</v>
      </c>
      <c r="L136" t="n">
        <v>1</v>
      </c>
      <c r="M136" t="n">
        <v>0</v>
      </c>
      <c r="N136" t="n">
        <v>0</v>
      </c>
      <c r="O136" t="n">
        <v>2</v>
      </c>
      <c r="P136" t="n">
        <v>1</v>
      </c>
      <c r="Q136" t="n">
        <v>2</v>
      </c>
      <c r="R136" s="2" t="inlineStr">
        <is>
          <t>Tornseglare
Kråka</t>
        </is>
      </c>
      <c r="S136">
        <f>HYPERLINK("https://klasma.github.io/Logging_2184/artfynd/A 116-2020.xlsx", "A 116-2020")</f>
        <v/>
      </c>
      <c r="T136">
        <f>HYPERLINK("https://klasma.github.io/Logging_2184/kartor/A 116-2020.png", "A 116-2020")</f>
        <v/>
      </c>
      <c r="V136">
        <f>HYPERLINK("https://klasma.github.io/Logging_2184/klagomål/A 116-2020.docx", "A 116-2020")</f>
        <v/>
      </c>
      <c r="W136">
        <f>HYPERLINK("https://klasma.github.io/Logging_2184/klagomålsmail/A 116-2020.docx", "A 116-2020")</f>
        <v/>
      </c>
      <c r="X136">
        <f>HYPERLINK("https://klasma.github.io/Logging_2184/tillsyn/A 116-2020.docx", "A 116-2020")</f>
        <v/>
      </c>
      <c r="Y136">
        <f>HYPERLINK("https://klasma.github.io/Logging_2184/tillsynsmail/A 116-2020.docx", "A 116-2020")</f>
        <v/>
      </c>
    </row>
    <row r="137" ht="15" customHeight="1">
      <c r="A137" t="inlineStr">
        <is>
          <t>A 14255-2020</t>
        </is>
      </c>
      <c r="B137" s="1" t="n">
        <v>43907</v>
      </c>
      <c r="C137" s="1" t="n">
        <v>45209</v>
      </c>
      <c r="D137" t="inlineStr">
        <is>
          <t>GÄVLEBORGS LÄN</t>
        </is>
      </c>
      <c r="E137" t="inlineStr">
        <is>
          <t>HUDIKSVALL</t>
        </is>
      </c>
      <c r="F137" t="inlineStr">
        <is>
          <t>Holmen skog AB</t>
        </is>
      </c>
      <c r="G137" t="n">
        <v>14.2</v>
      </c>
      <c r="H137" t="n">
        <v>2</v>
      </c>
      <c r="I137" t="n">
        <v>0</v>
      </c>
      <c r="J137" t="n">
        <v>0</v>
      </c>
      <c r="K137" t="n">
        <v>0</v>
      </c>
      <c r="L137" t="n">
        <v>0</v>
      </c>
      <c r="M137" t="n">
        <v>0</v>
      </c>
      <c r="N137" t="n">
        <v>0</v>
      </c>
      <c r="O137" t="n">
        <v>0</v>
      </c>
      <c r="P137" t="n">
        <v>0</v>
      </c>
      <c r="Q137" t="n">
        <v>2</v>
      </c>
      <c r="R137" s="2" t="inlineStr">
        <is>
          <t>Fläcknycklar
Myggblomster</t>
        </is>
      </c>
      <c r="S137">
        <f>HYPERLINK("https://klasma.github.io/Logging_2184/artfynd/A 14255-2020.xlsx", "A 14255-2020")</f>
        <v/>
      </c>
      <c r="T137">
        <f>HYPERLINK("https://klasma.github.io/Logging_2184/kartor/A 14255-2020.png", "A 14255-2020")</f>
        <v/>
      </c>
      <c r="V137">
        <f>HYPERLINK("https://klasma.github.io/Logging_2184/klagomål/A 14255-2020.docx", "A 14255-2020")</f>
        <v/>
      </c>
      <c r="W137">
        <f>HYPERLINK("https://klasma.github.io/Logging_2184/klagomålsmail/A 14255-2020.docx", "A 14255-2020")</f>
        <v/>
      </c>
      <c r="X137">
        <f>HYPERLINK("https://klasma.github.io/Logging_2184/tillsyn/A 14255-2020.docx", "A 14255-2020")</f>
        <v/>
      </c>
      <c r="Y137">
        <f>HYPERLINK("https://klasma.github.io/Logging_2184/tillsynsmail/A 14255-2020.docx", "A 14255-2020")</f>
        <v/>
      </c>
    </row>
    <row r="138" ht="15" customHeight="1">
      <c r="A138" t="inlineStr">
        <is>
          <t>A 24617-2020</t>
        </is>
      </c>
      <c r="B138" s="1" t="n">
        <v>43977</v>
      </c>
      <c r="C138" s="1" t="n">
        <v>45209</v>
      </c>
      <c r="D138" t="inlineStr">
        <is>
          <t>GÄVLEBORGS LÄN</t>
        </is>
      </c>
      <c r="E138" t="inlineStr">
        <is>
          <t>LJUSDAL</t>
        </is>
      </c>
      <c r="F138" t="inlineStr">
        <is>
          <t>Sveaskog</t>
        </is>
      </c>
      <c r="G138" t="n">
        <v>9.300000000000001</v>
      </c>
      <c r="H138" t="n">
        <v>0</v>
      </c>
      <c r="I138" t="n">
        <v>1</v>
      </c>
      <c r="J138" t="n">
        <v>1</v>
      </c>
      <c r="K138" t="n">
        <v>0</v>
      </c>
      <c r="L138" t="n">
        <v>0</v>
      </c>
      <c r="M138" t="n">
        <v>0</v>
      </c>
      <c r="N138" t="n">
        <v>0</v>
      </c>
      <c r="O138" t="n">
        <v>1</v>
      </c>
      <c r="P138" t="n">
        <v>0</v>
      </c>
      <c r="Q138" t="n">
        <v>2</v>
      </c>
      <c r="R138" s="2" t="inlineStr">
        <is>
          <t>Kolflarnlav
Dropptaggsvamp</t>
        </is>
      </c>
      <c r="S138">
        <f>HYPERLINK("https://klasma.github.io/Logging_2161/artfynd/A 24617-2020.xlsx", "A 24617-2020")</f>
        <v/>
      </c>
      <c r="T138">
        <f>HYPERLINK("https://klasma.github.io/Logging_2161/kartor/A 24617-2020.png", "A 24617-2020")</f>
        <v/>
      </c>
      <c r="V138">
        <f>HYPERLINK("https://klasma.github.io/Logging_2161/klagomål/A 24617-2020.docx", "A 24617-2020")</f>
        <v/>
      </c>
      <c r="W138">
        <f>HYPERLINK("https://klasma.github.io/Logging_2161/klagomålsmail/A 24617-2020.docx", "A 24617-2020")</f>
        <v/>
      </c>
      <c r="X138">
        <f>HYPERLINK("https://klasma.github.io/Logging_2161/tillsyn/A 24617-2020.docx", "A 24617-2020")</f>
        <v/>
      </c>
      <c r="Y138">
        <f>HYPERLINK("https://klasma.github.io/Logging_2161/tillsynsmail/A 24617-2020.docx", "A 24617-2020")</f>
        <v/>
      </c>
    </row>
    <row r="139" ht="15" customHeight="1">
      <c r="A139" t="inlineStr">
        <is>
          <t>A 27617-2020</t>
        </is>
      </c>
      <c r="B139" s="1" t="n">
        <v>43993</v>
      </c>
      <c r="C139" s="1" t="n">
        <v>45209</v>
      </c>
      <c r="D139" t="inlineStr">
        <is>
          <t>GÄVLEBORGS LÄN</t>
        </is>
      </c>
      <c r="E139" t="inlineStr">
        <is>
          <t>BOLLNÄS</t>
        </is>
      </c>
      <c r="G139" t="n">
        <v>3.6</v>
      </c>
      <c r="H139" t="n">
        <v>0</v>
      </c>
      <c r="I139" t="n">
        <v>0</v>
      </c>
      <c r="J139" t="n">
        <v>0</v>
      </c>
      <c r="K139" t="n">
        <v>0</v>
      </c>
      <c r="L139" t="n">
        <v>2</v>
      </c>
      <c r="M139" t="n">
        <v>0</v>
      </c>
      <c r="N139" t="n">
        <v>0</v>
      </c>
      <c r="O139" t="n">
        <v>2</v>
      </c>
      <c r="P139" t="n">
        <v>2</v>
      </c>
      <c r="Q139" t="n">
        <v>2</v>
      </c>
      <c r="R139" s="2" t="inlineStr">
        <is>
          <t>Bredgentiana
Fältgentiana</t>
        </is>
      </c>
      <c r="S139">
        <f>HYPERLINK("https://klasma.github.io/Logging_2183/artfynd/A 27617-2020.xlsx", "A 27617-2020")</f>
        <v/>
      </c>
      <c r="T139">
        <f>HYPERLINK("https://klasma.github.io/Logging_2183/kartor/A 27617-2020.png", "A 27617-2020")</f>
        <v/>
      </c>
      <c r="V139">
        <f>HYPERLINK("https://klasma.github.io/Logging_2183/klagomål/A 27617-2020.docx", "A 27617-2020")</f>
        <v/>
      </c>
      <c r="W139">
        <f>HYPERLINK("https://klasma.github.io/Logging_2183/klagomålsmail/A 27617-2020.docx", "A 27617-2020")</f>
        <v/>
      </c>
      <c r="X139">
        <f>HYPERLINK("https://klasma.github.io/Logging_2183/tillsyn/A 27617-2020.docx", "A 27617-2020")</f>
        <v/>
      </c>
      <c r="Y139">
        <f>HYPERLINK("https://klasma.github.io/Logging_2183/tillsynsmail/A 27617-2020.docx", "A 27617-2020")</f>
        <v/>
      </c>
    </row>
    <row r="140" ht="15" customHeight="1">
      <c r="A140" t="inlineStr">
        <is>
          <t>A 28704-2020</t>
        </is>
      </c>
      <c r="B140" s="1" t="n">
        <v>43999</v>
      </c>
      <c r="C140" s="1" t="n">
        <v>45209</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28704-2020.xlsx", "A 28704-2020")</f>
        <v/>
      </c>
      <c r="T140">
        <f>HYPERLINK("https://klasma.github.io/Logging_2183/kartor/A 28704-2020.png", "A 28704-2020")</f>
        <v/>
      </c>
      <c r="V140">
        <f>HYPERLINK("https://klasma.github.io/Logging_2183/klagomål/A 28704-2020.docx", "A 28704-2020")</f>
        <v/>
      </c>
      <c r="W140">
        <f>HYPERLINK("https://klasma.github.io/Logging_2183/klagomålsmail/A 28704-2020.docx", "A 28704-2020")</f>
        <v/>
      </c>
      <c r="X140">
        <f>HYPERLINK("https://klasma.github.io/Logging_2183/tillsyn/A 28704-2020.docx", "A 28704-2020")</f>
        <v/>
      </c>
      <c r="Y140">
        <f>HYPERLINK("https://klasma.github.io/Logging_2183/tillsynsmail/A 28704-2020.docx", "A 28704-2020")</f>
        <v/>
      </c>
    </row>
    <row r="141" ht="15" customHeight="1">
      <c r="A141" t="inlineStr">
        <is>
          <t>A 30147-2020</t>
        </is>
      </c>
      <c r="B141" s="1" t="n">
        <v>44007</v>
      </c>
      <c r="C141" s="1" t="n">
        <v>45209</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30147-2020.xlsx", "A 30147-2020")</f>
        <v/>
      </c>
      <c r="T141">
        <f>HYPERLINK("https://klasma.github.io/Logging_2181/kartor/A 30147-2020.png", "A 30147-2020")</f>
        <v/>
      </c>
      <c r="V141">
        <f>HYPERLINK("https://klasma.github.io/Logging_2181/klagomål/A 30147-2020.docx", "A 30147-2020")</f>
        <v/>
      </c>
      <c r="W141">
        <f>HYPERLINK("https://klasma.github.io/Logging_2181/klagomålsmail/A 30147-2020.docx", "A 30147-2020")</f>
        <v/>
      </c>
      <c r="X141">
        <f>HYPERLINK("https://klasma.github.io/Logging_2181/tillsyn/A 30147-2020.docx", "A 30147-2020")</f>
        <v/>
      </c>
      <c r="Y141">
        <f>HYPERLINK("https://klasma.github.io/Logging_2181/tillsynsmail/A 30147-2020.docx", "A 30147-2020")</f>
        <v/>
      </c>
    </row>
    <row r="142" ht="15" customHeight="1">
      <c r="A142" t="inlineStr">
        <is>
          <t>A 30620-2020</t>
        </is>
      </c>
      <c r="B142" s="1" t="n">
        <v>44008</v>
      </c>
      <c r="C142" s="1" t="n">
        <v>45209</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30620-2020.xlsx", "A 30620-2020")</f>
        <v/>
      </c>
      <c r="T142">
        <f>HYPERLINK("https://klasma.github.io/Logging_2132/kartor/A 30620-2020.png", "A 30620-2020")</f>
        <v/>
      </c>
      <c r="V142">
        <f>HYPERLINK("https://klasma.github.io/Logging_2132/klagomål/A 30620-2020.docx", "A 30620-2020")</f>
        <v/>
      </c>
      <c r="W142">
        <f>HYPERLINK("https://klasma.github.io/Logging_2132/klagomålsmail/A 30620-2020.docx", "A 30620-2020")</f>
        <v/>
      </c>
      <c r="X142">
        <f>HYPERLINK("https://klasma.github.io/Logging_2132/tillsyn/A 30620-2020.docx", "A 30620-2020")</f>
        <v/>
      </c>
      <c r="Y142">
        <f>HYPERLINK("https://klasma.github.io/Logging_2132/tillsynsmail/A 30620-2020.docx", "A 30620-2020")</f>
        <v/>
      </c>
    </row>
    <row r="143" ht="15" customHeight="1">
      <c r="A143" t="inlineStr">
        <is>
          <t>A 33136-2020</t>
        </is>
      </c>
      <c r="B143" s="1" t="n">
        <v>44021</v>
      </c>
      <c r="C143" s="1" t="n">
        <v>45209</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33136-2020.xlsx", "A 33136-2020")</f>
        <v/>
      </c>
      <c r="T143">
        <f>HYPERLINK("https://klasma.github.io/Logging_2132/kartor/A 33136-2020.png", "A 33136-2020")</f>
        <v/>
      </c>
      <c r="V143">
        <f>HYPERLINK("https://klasma.github.io/Logging_2132/klagomål/A 33136-2020.docx", "A 33136-2020")</f>
        <v/>
      </c>
      <c r="W143">
        <f>HYPERLINK("https://klasma.github.io/Logging_2132/klagomålsmail/A 33136-2020.docx", "A 33136-2020")</f>
        <v/>
      </c>
      <c r="X143">
        <f>HYPERLINK("https://klasma.github.io/Logging_2132/tillsyn/A 33136-2020.docx", "A 33136-2020")</f>
        <v/>
      </c>
      <c r="Y143">
        <f>HYPERLINK("https://klasma.github.io/Logging_2132/tillsynsmail/A 33136-2020.docx", "A 33136-2020")</f>
        <v/>
      </c>
    </row>
    <row r="144" ht="15" customHeight="1">
      <c r="A144" t="inlineStr">
        <is>
          <t>A 43503-2020</t>
        </is>
      </c>
      <c r="B144" s="1" t="n">
        <v>44077</v>
      </c>
      <c r="C144" s="1" t="n">
        <v>45209</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43503-2020.xlsx", "A 43503-2020")</f>
        <v/>
      </c>
      <c r="T144">
        <f>HYPERLINK("https://klasma.github.io/Logging_2184/kartor/A 43503-2020.png", "A 43503-2020")</f>
        <v/>
      </c>
      <c r="U144">
        <f>HYPERLINK("https://klasma.github.io/Logging_2184/knärot/A 43503-2020.png", "A 43503-2020")</f>
        <v/>
      </c>
      <c r="V144">
        <f>HYPERLINK("https://klasma.github.io/Logging_2184/klagomål/A 43503-2020.docx", "A 43503-2020")</f>
        <v/>
      </c>
      <c r="W144">
        <f>HYPERLINK("https://klasma.github.io/Logging_2184/klagomålsmail/A 43503-2020.docx", "A 43503-2020")</f>
        <v/>
      </c>
      <c r="X144">
        <f>HYPERLINK("https://klasma.github.io/Logging_2184/tillsyn/A 43503-2020.docx", "A 43503-2020")</f>
        <v/>
      </c>
      <c r="Y144">
        <f>HYPERLINK("https://klasma.github.io/Logging_2184/tillsynsmail/A 43503-2020.docx", "A 43503-2020")</f>
        <v/>
      </c>
    </row>
    <row r="145" ht="15" customHeight="1">
      <c r="A145" t="inlineStr">
        <is>
          <t>A 48935-2020</t>
        </is>
      </c>
      <c r="B145" s="1" t="n">
        <v>44104</v>
      </c>
      <c r="C145" s="1" t="n">
        <v>45209</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48935-2020.xlsx", "A 48935-2020")</f>
        <v/>
      </c>
      <c r="T145">
        <f>HYPERLINK("https://klasma.github.io/Logging_2184/kartor/A 48935-2020.png", "A 48935-2020")</f>
        <v/>
      </c>
      <c r="V145">
        <f>HYPERLINK("https://klasma.github.io/Logging_2184/klagomål/A 48935-2020.docx", "A 48935-2020")</f>
        <v/>
      </c>
      <c r="W145">
        <f>HYPERLINK("https://klasma.github.io/Logging_2184/klagomålsmail/A 48935-2020.docx", "A 48935-2020")</f>
        <v/>
      </c>
      <c r="X145">
        <f>HYPERLINK("https://klasma.github.io/Logging_2184/tillsyn/A 48935-2020.docx", "A 48935-2020")</f>
        <v/>
      </c>
      <c r="Y145">
        <f>HYPERLINK("https://klasma.github.io/Logging_2184/tillsynsmail/A 48935-2020.docx", "A 48935-2020")</f>
        <v/>
      </c>
    </row>
    <row r="146" ht="15" customHeight="1">
      <c r="A146" t="inlineStr">
        <is>
          <t>A 13261-2021</t>
        </is>
      </c>
      <c r="B146" s="1" t="n">
        <v>44272</v>
      </c>
      <c r="C146" s="1" t="n">
        <v>45209</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13261-2021.xlsx", "A 13261-2021")</f>
        <v/>
      </c>
      <c r="T146">
        <f>HYPERLINK("https://klasma.github.io/Logging_2180/kartor/A 13261-2021.png", "A 13261-2021")</f>
        <v/>
      </c>
      <c r="V146">
        <f>HYPERLINK("https://klasma.github.io/Logging_2180/klagomål/A 13261-2021.docx", "A 13261-2021")</f>
        <v/>
      </c>
      <c r="W146">
        <f>HYPERLINK("https://klasma.github.io/Logging_2180/klagomålsmail/A 13261-2021.docx", "A 13261-2021")</f>
        <v/>
      </c>
      <c r="X146">
        <f>HYPERLINK("https://klasma.github.io/Logging_2180/tillsyn/A 13261-2021.docx", "A 13261-2021")</f>
        <v/>
      </c>
      <c r="Y146">
        <f>HYPERLINK("https://klasma.github.io/Logging_2180/tillsynsmail/A 13261-2021.docx", "A 13261-2021")</f>
        <v/>
      </c>
    </row>
    <row r="147" ht="15" customHeight="1">
      <c r="A147" t="inlineStr">
        <is>
          <t>A 20198-2021</t>
        </is>
      </c>
      <c r="B147" s="1" t="n">
        <v>44314</v>
      </c>
      <c r="C147" s="1" t="n">
        <v>45209</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20198-2021.xlsx", "A 20198-2021")</f>
        <v/>
      </c>
      <c r="T147">
        <f>HYPERLINK("https://klasma.github.io/Logging_2180/kartor/A 20198-2021.png", "A 20198-2021")</f>
        <v/>
      </c>
      <c r="V147">
        <f>HYPERLINK("https://klasma.github.io/Logging_2180/klagomål/A 20198-2021.docx", "A 20198-2021")</f>
        <v/>
      </c>
      <c r="W147">
        <f>HYPERLINK("https://klasma.github.io/Logging_2180/klagomålsmail/A 20198-2021.docx", "A 20198-2021")</f>
        <v/>
      </c>
      <c r="X147">
        <f>HYPERLINK("https://klasma.github.io/Logging_2180/tillsyn/A 20198-2021.docx", "A 20198-2021")</f>
        <v/>
      </c>
      <c r="Y147">
        <f>HYPERLINK("https://klasma.github.io/Logging_2180/tillsynsmail/A 20198-2021.docx", "A 20198-2021")</f>
        <v/>
      </c>
    </row>
    <row r="148" ht="15" customHeight="1">
      <c r="A148" t="inlineStr">
        <is>
          <t>A 21765-2021</t>
        </is>
      </c>
      <c r="B148" s="1" t="n">
        <v>44322</v>
      </c>
      <c r="C148" s="1" t="n">
        <v>45209</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21765-2021.xlsx", "A 21765-2021")</f>
        <v/>
      </c>
      <c r="T148">
        <f>HYPERLINK("https://klasma.github.io/Logging_2161/kartor/A 21765-2021.png", "A 21765-2021")</f>
        <v/>
      </c>
      <c r="V148">
        <f>HYPERLINK("https://klasma.github.io/Logging_2161/klagomål/A 21765-2021.docx", "A 21765-2021")</f>
        <v/>
      </c>
      <c r="W148">
        <f>HYPERLINK("https://klasma.github.io/Logging_2161/klagomålsmail/A 21765-2021.docx", "A 21765-2021")</f>
        <v/>
      </c>
      <c r="X148">
        <f>HYPERLINK("https://klasma.github.io/Logging_2161/tillsyn/A 21765-2021.docx", "A 21765-2021")</f>
        <v/>
      </c>
      <c r="Y148">
        <f>HYPERLINK("https://klasma.github.io/Logging_2161/tillsynsmail/A 21765-2021.docx", "A 21765-2021")</f>
        <v/>
      </c>
    </row>
    <row r="149" ht="15" customHeight="1">
      <c r="A149" t="inlineStr">
        <is>
          <t>A 27326-2021</t>
        </is>
      </c>
      <c r="B149" s="1" t="n">
        <v>44351</v>
      </c>
      <c r="C149" s="1" t="n">
        <v>45209</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27326-2021.xlsx", "A 27326-2021")</f>
        <v/>
      </c>
      <c r="T149">
        <f>HYPERLINK("https://klasma.github.io/Logging_2161/kartor/A 27326-2021.png", "A 27326-2021")</f>
        <v/>
      </c>
      <c r="V149">
        <f>HYPERLINK("https://klasma.github.io/Logging_2161/klagomål/A 27326-2021.docx", "A 27326-2021")</f>
        <v/>
      </c>
      <c r="W149">
        <f>HYPERLINK("https://klasma.github.io/Logging_2161/klagomålsmail/A 27326-2021.docx", "A 27326-2021")</f>
        <v/>
      </c>
      <c r="X149">
        <f>HYPERLINK("https://klasma.github.io/Logging_2161/tillsyn/A 27326-2021.docx", "A 27326-2021")</f>
        <v/>
      </c>
      <c r="Y149">
        <f>HYPERLINK("https://klasma.github.io/Logging_2161/tillsynsmail/A 27326-2021.docx", "A 27326-2021")</f>
        <v/>
      </c>
    </row>
    <row r="150" ht="15" customHeight="1">
      <c r="A150" t="inlineStr">
        <is>
          <t>A 28727-2021</t>
        </is>
      </c>
      <c r="B150" s="1" t="n">
        <v>44357</v>
      </c>
      <c r="C150" s="1" t="n">
        <v>45209</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28727-2021.xlsx", "A 28727-2021")</f>
        <v/>
      </c>
      <c r="T150">
        <f>HYPERLINK("https://klasma.github.io/Logging_2161/kartor/A 28727-2021.png", "A 28727-2021")</f>
        <v/>
      </c>
      <c r="V150">
        <f>HYPERLINK("https://klasma.github.io/Logging_2161/klagomål/A 28727-2021.docx", "A 28727-2021")</f>
        <v/>
      </c>
      <c r="W150">
        <f>HYPERLINK("https://klasma.github.io/Logging_2161/klagomålsmail/A 28727-2021.docx", "A 28727-2021")</f>
        <v/>
      </c>
      <c r="X150">
        <f>HYPERLINK("https://klasma.github.io/Logging_2161/tillsyn/A 28727-2021.docx", "A 28727-2021")</f>
        <v/>
      </c>
      <c r="Y150">
        <f>HYPERLINK("https://klasma.github.io/Logging_2161/tillsynsmail/A 28727-2021.docx", "A 28727-2021")</f>
        <v/>
      </c>
    </row>
    <row r="151" ht="15" customHeight="1">
      <c r="A151" t="inlineStr">
        <is>
          <t>A 39528-2021</t>
        </is>
      </c>
      <c r="B151" s="1" t="n">
        <v>44415</v>
      </c>
      <c r="C151" s="1" t="n">
        <v>45209</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39528-2021.xlsx", "A 39528-2021")</f>
        <v/>
      </c>
      <c r="T151">
        <f>HYPERLINK("https://klasma.github.io/Logging_2184/kartor/A 39528-2021.png", "A 39528-2021")</f>
        <v/>
      </c>
      <c r="U151">
        <f>HYPERLINK("https://klasma.github.io/Logging_2184/knärot/A 39528-2021.png", "A 39528-2021")</f>
        <v/>
      </c>
      <c r="V151">
        <f>HYPERLINK("https://klasma.github.io/Logging_2184/klagomål/A 39528-2021.docx", "A 39528-2021")</f>
        <v/>
      </c>
      <c r="W151">
        <f>HYPERLINK("https://klasma.github.io/Logging_2184/klagomålsmail/A 39528-2021.docx", "A 39528-2021")</f>
        <v/>
      </c>
      <c r="X151">
        <f>HYPERLINK("https://klasma.github.io/Logging_2184/tillsyn/A 39528-2021.docx", "A 39528-2021")</f>
        <v/>
      </c>
      <c r="Y151">
        <f>HYPERLINK("https://klasma.github.io/Logging_2184/tillsynsmail/A 39528-2021.docx", "A 39528-2021")</f>
        <v/>
      </c>
    </row>
    <row r="152" ht="15" customHeight="1">
      <c r="A152" t="inlineStr">
        <is>
          <t>A 43259-2021</t>
        </is>
      </c>
      <c r="B152" s="1" t="n">
        <v>44432</v>
      </c>
      <c r="C152" s="1" t="n">
        <v>45209</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43259-2021.xlsx", "A 43259-2021")</f>
        <v/>
      </c>
      <c r="T152">
        <f>HYPERLINK("https://klasma.github.io/Logging_2183/kartor/A 43259-2021.png", "A 43259-2021")</f>
        <v/>
      </c>
      <c r="U152">
        <f>HYPERLINK("https://klasma.github.io/Logging_2183/knärot/A 43259-2021.png", "A 43259-2021")</f>
        <v/>
      </c>
      <c r="V152">
        <f>HYPERLINK("https://klasma.github.io/Logging_2183/klagomål/A 43259-2021.docx", "A 43259-2021")</f>
        <v/>
      </c>
      <c r="W152">
        <f>HYPERLINK("https://klasma.github.io/Logging_2183/klagomålsmail/A 43259-2021.docx", "A 43259-2021")</f>
        <v/>
      </c>
      <c r="X152">
        <f>HYPERLINK("https://klasma.github.io/Logging_2183/tillsyn/A 43259-2021.docx", "A 43259-2021")</f>
        <v/>
      </c>
      <c r="Y152">
        <f>HYPERLINK("https://klasma.github.io/Logging_2183/tillsynsmail/A 43259-2021.docx", "A 43259-2021")</f>
        <v/>
      </c>
    </row>
    <row r="153" ht="15" customHeight="1">
      <c r="A153" t="inlineStr">
        <is>
          <t>A 44692-2021</t>
        </is>
      </c>
      <c r="B153" s="1" t="n">
        <v>44438</v>
      </c>
      <c r="C153" s="1" t="n">
        <v>45209</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44692-2021.xlsx", "A 44692-2021")</f>
        <v/>
      </c>
      <c r="T153">
        <f>HYPERLINK("https://klasma.github.io/Logging_2161/kartor/A 44692-2021.png", "A 44692-2021")</f>
        <v/>
      </c>
      <c r="V153">
        <f>HYPERLINK("https://klasma.github.io/Logging_2161/klagomål/A 44692-2021.docx", "A 44692-2021")</f>
        <v/>
      </c>
      <c r="W153">
        <f>HYPERLINK("https://klasma.github.io/Logging_2161/klagomålsmail/A 44692-2021.docx", "A 44692-2021")</f>
        <v/>
      </c>
      <c r="X153">
        <f>HYPERLINK("https://klasma.github.io/Logging_2161/tillsyn/A 44692-2021.docx", "A 44692-2021")</f>
        <v/>
      </c>
      <c r="Y153">
        <f>HYPERLINK("https://klasma.github.io/Logging_2161/tillsynsmail/A 44692-2021.docx", "A 44692-2021")</f>
        <v/>
      </c>
    </row>
    <row r="154" ht="15" customHeight="1">
      <c r="A154" t="inlineStr">
        <is>
          <t>A 47483-2021</t>
        </is>
      </c>
      <c r="B154" s="1" t="n">
        <v>44447</v>
      </c>
      <c r="C154" s="1" t="n">
        <v>45209</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47483-2021.xlsx", "A 47483-2021")</f>
        <v/>
      </c>
      <c r="T154">
        <f>HYPERLINK("https://klasma.github.io/Logging_2104/kartor/A 47483-2021.png", "A 47483-2021")</f>
        <v/>
      </c>
      <c r="U154">
        <f>HYPERLINK("https://klasma.github.io/Logging_2104/knärot/A 47483-2021.png", "A 47483-2021")</f>
        <v/>
      </c>
      <c r="V154">
        <f>HYPERLINK("https://klasma.github.io/Logging_2104/klagomål/A 47483-2021.docx", "A 47483-2021")</f>
        <v/>
      </c>
      <c r="W154">
        <f>HYPERLINK("https://klasma.github.io/Logging_2104/klagomålsmail/A 47483-2021.docx", "A 47483-2021")</f>
        <v/>
      </c>
      <c r="X154">
        <f>HYPERLINK("https://klasma.github.io/Logging_2104/tillsyn/A 47483-2021.docx", "A 47483-2021")</f>
        <v/>
      </c>
      <c r="Y154">
        <f>HYPERLINK("https://klasma.github.io/Logging_2104/tillsynsmail/A 47483-2021.docx", "A 47483-2021")</f>
        <v/>
      </c>
    </row>
    <row r="155" ht="15" customHeight="1">
      <c r="A155" t="inlineStr">
        <is>
          <t>A 13026-2022</t>
        </is>
      </c>
      <c r="B155" s="1" t="n">
        <v>44643</v>
      </c>
      <c r="C155" s="1" t="n">
        <v>45209</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13026-2022.xlsx", "A 13026-2022")</f>
        <v/>
      </c>
      <c r="T155">
        <f>HYPERLINK("https://klasma.github.io/Logging_2132/kartor/A 13026-2022.png", "A 13026-2022")</f>
        <v/>
      </c>
      <c r="V155">
        <f>HYPERLINK("https://klasma.github.io/Logging_2132/klagomål/A 13026-2022.docx", "A 13026-2022")</f>
        <v/>
      </c>
      <c r="W155">
        <f>HYPERLINK("https://klasma.github.io/Logging_2132/klagomålsmail/A 13026-2022.docx", "A 13026-2022")</f>
        <v/>
      </c>
      <c r="X155">
        <f>HYPERLINK("https://klasma.github.io/Logging_2132/tillsyn/A 13026-2022.docx", "A 13026-2022")</f>
        <v/>
      </c>
      <c r="Y155">
        <f>HYPERLINK("https://klasma.github.io/Logging_2132/tillsynsmail/A 13026-2022.docx", "A 13026-2022")</f>
        <v/>
      </c>
    </row>
    <row r="156" ht="15" customHeight="1">
      <c r="A156" t="inlineStr">
        <is>
          <t>A 23866-2022</t>
        </is>
      </c>
      <c r="B156" s="1" t="n">
        <v>44722</v>
      </c>
      <c r="C156" s="1" t="n">
        <v>45209</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23866-2022.xlsx", "A 23866-2022")</f>
        <v/>
      </c>
      <c r="T156">
        <f>HYPERLINK("https://klasma.github.io/Logging_2161/kartor/A 23866-2022.png", "A 23866-2022")</f>
        <v/>
      </c>
      <c r="U156">
        <f>HYPERLINK("https://klasma.github.io/Logging_2161/knärot/A 23866-2022.png", "A 23866-2022")</f>
        <v/>
      </c>
      <c r="V156">
        <f>HYPERLINK("https://klasma.github.io/Logging_2161/klagomål/A 23866-2022.docx", "A 23866-2022")</f>
        <v/>
      </c>
      <c r="W156">
        <f>HYPERLINK("https://klasma.github.io/Logging_2161/klagomålsmail/A 23866-2022.docx", "A 23866-2022")</f>
        <v/>
      </c>
      <c r="X156">
        <f>HYPERLINK("https://klasma.github.io/Logging_2161/tillsyn/A 23866-2022.docx", "A 23866-2022")</f>
        <v/>
      </c>
      <c r="Y156">
        <f>HYPERLINK("https://klasma.github.io/Logging_2161/tillsynsmail/A 23866-2022.docx", "A 23866-2022")</f>
        <v/>
      </c>
    </row>
    <row r="157" ht="15" customHeight="1">
      <c r="A157" t="inlineStr">
        <is>
          <t>A 27216-2022</t>
        </is>
      </c>
      <c r="B157" s="1" t="n">
        <v>44741</v>
      </c>
      <c r="C157" s="1" t="n">
        <v>45209</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27216-2022.xlsx", "A 27216-2022")</f>
        <v/>
      </c>
      <c r="T157">
        <f>HYPERLINK("https://klasma.github.io/Logging_2104/kartor/A 27216-2022.png", "A 27216-2022")</f>
        <v/>
      </c>
      <c r="V157">
        <f>HYPERLINK("https://klasma.github.io/Logging_2104/klagomål/A 27216-2022.docx", "A 27216-2022")</f>
        <v/>
      </c>
      <c r="W157">
        <f>HYPERLINK("https://klasma.github.io/Logging_2104/klagomålsmail/A 27216-2022.docx", "A 27216-2022")</f>
        <v/>
      </c>
      <c r="X157">
        <f>HYPERLINK("https://klasma.github.io/Logging_2104/tillsyn/A 27216-2022.docx", "A 27216-2022")</f>
        <v/>
      </c>
      <c r="Y157">
        <f>HYPERLINK("https://klasma.github.io/Logging_2104/tillsynsmail/A 27216-2022.docx", "A 27216-2022")</f>
        <v/>
      </c>
    </row>
    <row r="158" ht="15" customHeight="1">
      <c r="A158" t="inlineStr">
        <is>
          <t>A 29206-2022</t>
        </is>
      </c>
      <c r="B158" s="1" t="n">
        <v>44750</v>
      </c>
      <c r="C158" s="1" t="n">
        <v>45209</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29206-2022.xlsx", "A 29206-2022")</f>
        <v/>
      </c>
      <c r="T158">
        <f>HYPERLINK("https://klasma.github.io/Logging_2184/kartor/A 29206-2022.png", "A 29206-2022")</f>
        <v/>
      </c>
      <c r="V158">
        <f>HYPERLINK("https://klasma.github.io/Logging_2184/klagomål/A 29206-2022.docx", "A 29206-2022")</f>
        <v/>
      </c>
      <c r="W158">
        <f>HYPERLINK("https://klasma.github.io/Logging_2184/klagomålsmail/A 29206-2022.docx", "A 29206-2022")</f>
        <v/>
      </c>
      <c r="X158">
        <f>HYPERLINK("https://klasma.github.io/Logging_2184/tillsyn/A 29206-2022.docx", "A 29206-2022")</f>
        <v/>
      </c>
      <c r="Y158">
        <f>HYPERLINK("https://klasma.github.io/Logging_2184/tillsynsmail/A 29206-2022.docx", "A 29206-2022")</f>
        <v/>
      </c>
    </row>
    <row r="159" ht="15" customHeight="1">
      <c r="A159" t="inlineStr">
        <is>
          <t>A 37123-2022</t>
        </is>
      </c>
      <c r="B159" s="1" t="n">
        <v>44806</v>
      </c>
      <c r="C159" s="1" t="n">
        <v>45209</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37123-2022.xlsx", "A 37123-2022")</f>
        <v/>
      </c>
      <c r="T159">
        <f>HYPERLINK("https://klasma.github.io/Logging_2132/kartor/A 37123-2022.png", "A 37123-2022")</f>
        <v/>
      </c>
      <c r="V159">
        <f>HYPERLINK("https://klasma.github.io/Logging_2132/klagomål/A 37123-2022.docx", "A 37123-2022")</f>
        <v/>
      </c>
      <c r="W159">
        <f>HYPERLINK("https://klasma.github.io/Logging_2132/klagomålsmail/A 37123-2022.docx", "A 37123-2022")</f>
        <v/>
      </c>
      <c r="X159">
        <f>HYPERLINK("https://klasma.github.io/Logging_2132/tillsyn/A 37123-2022.docx", "A 37123-2022")</f>
        <v/>
      </c>
      <c r="Y159">
        <f>HYPERLINK("https://klasma.github.io/Logging_2132/tillsynsmail/A 37123-2022.docx", "A 37123-2022")</f>
        <v/>
      </c>
    </row>
    <row r="160" ht="15" customHeight="1">
      <c r="A160" t="inlineStr">
        <is>
          <t>A 38862-2022</t>
        </is>
      </c>
      <c r="B160" s="1" t="n">
        <v>44816</v>
      </c>
      <c r="C160" s="1" t="n">
        <v>45209</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38862-2022.xlsx", "A 38862-2022")</f>
        <v/>
      </c>
      <c r="T160">
        <f>HYPERLINK("https://klasma.github.io/Logging_2104/kartor/A 38862-2022.png", "A 38862-2022")</f>
        <v/>
      </c>
      <c r="V160">
        <f>HYPERLINK("https://klasma.github.io/Logging_2104/klagomål/A 38862-2022.docx", "A 38862-2022")</f>
        <v/>
      </c>
      <c r="W160">
        <f>HYPERLINK("https://klasma.github.io/Logging_2104/klagomålsmail/A 38862-2022.docx", "A 38862-2022")</f>
        <v/>
      </c>
      <c r="X160">
        <f>HYPERLINK("https://klasma.github.io/Logging_2104/tillsyn/A 38862-2022.docx", "A 38862-2022")</f>
        <v/>
      </c>
      <c r="Y160">
        <f>HYPERLINK("https://klasma.github.io/Logging_2104/tillsynsmail/A 38862-2022.docx", "A 38862-2022")</f>
        <v/>
      </c>
    </row>
    <row r="161" ht="15" customHeight="1">
      <c r="A161" t="inlineStr">
        <is>
          <t>A 38855-2022</t>
        </is>
      </c>
      <c r="B161" s="1" t="n">
        <v>44816</v>
      </c>
      <c r="C161" s="1" t="n">
        <v>45209</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38855-2022.xlsx", "A 38855-2022")</f>
        <v/>
      </c>
      <c r="T161">
        <f>HYPERLINK("https://klasma.github.io/Logging_2104/kartor/A 38855-2022.png", "A 38855-2022")</f>
        <v/>
      </c>
      <c r="U161">
        <f>HYPERLINK("https://klasma.github.io/Logging_2104/knärot/A 38855-2022.png", "A 38855-2022")</f>
        <v/>
      </c>
      <c r="V161">
        <f>HYPERLINK("https://klasma.github.io/Logging_2104/klagomål/A 38855-2022.docx", "A 38855-2022")</f>
        <v/>
      </c>
      <c r="W161">
        <f>HYPERLINK("https://klasma.github.io/Logging_2104/klagomålsmail/A 38855-2022.docx", "A 38855-2022")</f>
        <v/>
      </c>
      <c r="X161">
        <f>HYPERLINK("https://klasma.github.io/Logging_2104/tillsyn/A 38855-2022.docx", "A 38855-2022")</f>
        <v/>
      </c>
      <c r="Y161">
        <f>HYPERLINK("https://klasma.github.io/Logging_2104/tillsynsmail/A 38855-2022.docx", "A 38855-2022")</f>
        <v/>
      </c>
    </row>
    <row r="162" ht="15" customHeight="1">
      <c r="A162" t="inlineStr">
        <is>
          <t>A 44116-2022</t>
        </is>
      </c>
      <c r="B162" s="1" t="n">
        <v>44839</v>
      </c>
      <c r="C162" s="1" t="n">
        <v>45209</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44116-2022.xlsx", "A 44116-2022")</f>
        <v/>
      </c>
      <c r="T162">
        <f>HYPERLINK("https://klasma.github.io/Logging_2161/kartor/A 44116-2022.png", "A 44116-2022")</f>
        <v/>
      </c>
      <c r="V162">
        <f>HYPERLINK("https://klasma.github.io/Logging_2161/klagomål/A 44116-2022.docx", "A 44116-2022")</f>
        <v/>
      </c>
      <c r="W162">
        <f>HYPERLINK("https://klasma.github.io/Logging_2161/klagomålsmail/A 44116-2022.docx", "A 44116-2022")</f>
        <v/>
      </c>
      <c r="X162">
        <f>HYPERLINK("https://klasma.github.io/Logging_2161/tillsyn/A 44116-2022.docx", "A 44116-2022")</f>
        <v/>
      </c>
      <c r="Y162">
        <f>HYPERLINK("https://klasma.github.io/Logging_2161/tillsynsmail/A 44116-2022.docx", "A 44116-2022")</f>
        <v/>
      </c>
    </row>
    <row r="163" ht="15" customHeight="1">
      <c r="A163" t="inlineStr">
        <is>
          <t>A 7608-2023</t>
        </is>
      </c>
      <c r="B163" s="1" t="n">
        <v>44972</v>
      </c>
      <c r="C163" s="1" t="n">
        <v>45209</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7608-2023.xlsx", "A 7608-2023")</f>
        <v/>
      </c>
      <c r="T163">
        <f>HYPERLINK("https://klasma.github.io/Logging_2132/kartor/A 7608-2023.png", "A 7608-2023")</f>
        <v/>
      </c>
      <c r="V163">
        <f>HYPERLINK("https://klasma.github.io/Logging_2132/klagomål/A 7608-2023.docx", "A 7608-2023")</f>
        <v/>
      </c>
      <c r="W163">
        <f>HYPERLINK("https://klasma.github.io/Logging_2132/klagomålsmail/A 7608-2023.docx", "A 7608-2023")</f>
        <v/>
      </c>
      <c r="X163">
        <f>HYPERLINK("https://klasma.github.io/Logging_2132/tillsyn/A 7608-2023.docx", "A 7608-2023")</f>
        <v/>
      </c>
      <c r="Y163">
        <f>HYPERLINK("https://klasma.github.io/Logging_2132/tillsynsmail/A 7608-2023.docx", "A 7608-2023")</f>
        <v/>
      </c>
    </row>
    <row r="164" ht="15" customHeight="1">
      <c r="A164" t="inlineStr">
        <is>
          <t>A 10637-2023</t>
        </is>
      </c>
      <c r="B164" s="1" t="n">
        <v>44988</v>
      </c>
      <c r="C164" s="1" t="n">
        <v>45209</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10637-2023.xlsx", "A 10637-2023")</f>
        <v/>
      </c>
      <c r="T164">
        <f>HYPERLINK("https://klasma.github.io/Logging_2161/kartor/A 10637-2023.png", "A 10637-2023")</f>
        <v/>
      </c>
      <c r="V164">
        <f>HYPERLINK("https://klasma.github.io/Logging_2161/klagomål/A 10637-2023.docx", "A 10637-2023")</f>
        <v/>
      </c>
      <c r="W164">
        <f>HYPERLINK("https://klasma.github.io/Logging_2161/klagomålsmail/A 10637-2023.docx", "A 10637-2023")</f>
        <v/>
      </c>
      <c r="X164">
        <f>HYPERLINK("https://klasma.github.io/Logging_2161/tillsyn/A 10637-2023.docx", "A 10637-2023")</f>
        <v/>
      </c>
      <c r="Y164">
        <f>HYPERLINK("https://klasma.github.io/Logging_2161/tillsynsmail/A 10637-2023.docx", "A 10637-2023")</f>
        <v/>
      </c>
    </row>
    <row r="165" ht="15" customHeight="1">
      <c r="A165" t="inlineStr">
        <is>
          <t>A 15365-2023</t>
        </is>
      </c>
      <c r="B165" s="1" t="n">
        <v>45019</v>
      </c>
      <c r="C165" s="1" t="n">
        <v>45209</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15365-2023.xlsx", "A 15365-2023")</f>
        <v/>
      </c>
      <c r="T165">
        <f>HYPERLINK("https://klasma.github.io/Logging_2180/kartor/A 15365-2023.png", "A 15365-2023")</f>
        <v/>
      </c>
      <c r="U165">
        <f>HYPERLINK("https://klasma.github.io/Logging_2180/knärot/A 15365-2023.png", "A 15365-2023")</f>
        <v/>
      </c>
      <c r="V165">
        <f>HYPERLINK("https://klasma.github.io/Logging_2180/klagomål/A 15365-2023.docx", "A 15365-2023")</f>
        <v/>
      </c>
      <c r="W165">
        <f>HYPERLINK("https://klasma.github.io/Logging_2180/klagomålsmail/A 15365-2023.docx", "A 15365-2023")</f>
        <v/>
      </c>
      <c r="X165">
        <f>HYPERLINK("https://klasma.github.io/Logging_2180/tillsyn/A 15365-2023.docx", "A 15365-2023")</f>
        <v/>
      </c>
      <c r="Y165">
        <f>HYPERLINK("https://klasma.github.io/Logging_2180/tillsynsmail/A 15365-2023.docx", "A 15365-2023")</f>
        <v/>
      </c>
    </row>
    <row r="166" ht="15" customHeight="1">
      <c r="A166" t="inlineStr">
        <is>
          <t>A 16499-2023</t>
        </is>
      </c>
      <c r="B166" s="1" t="n">
        <v>45029</v>
      </c>
      <c r="C166" s="1" t="n">
        <v>45209</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16499-2023.xlsx", "A 16499-2023")</f>
        <v/>
      </c>
      <c r="T166">
        <f>HYPERLINK("https://klasma.github.io/Logging_2180/kartor/A 16499-2023.png", "A 16499-2023")</f>
        <v/>
      </c>
      <c r="V166">
        <f>HYPERLINK("https://klasma.github.io/Logging_2180/klagomål/A 16499-2023.docx", "A 16499-2023")</f>
        <v/>
      </c>
      <c r="W166">
        <f>HYPERLINK("https://klasma.github.io/Logging_2180/klagomålsmail/A 16499-2023.docx", "A 16499-2023")</f>
        <v/>
      </c>
      <c r="X166">
        <f>HYPERLINK("https://klasma.github.io/Logging_2180/tillsyn/A 16499-2023.docx", "A 16499-2023")</f>
        <v/>
      </c>
      <c r="Y166">
        <f>HYPERLINK("https://klasma.github.io/Logging_2180/tillsynsmail/A 16499-2023.docx", "A 16499-2023")</f>
        <v/>
      </c>
    </row>
    <row r="167" ht="15" customHeight="1">
      <c r="A167" t="inlineStr">
        <is>
          <t>A 18332-2023</t>
        </is>
      </c>
      <c r="B167" s="1" t="n">
        <v>45041</v>
      </c>
      <c r="C167" s="1" t="n">
        <v>45209</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18332-2023.xlsx", "A 18332-2023")</f>
        <v/>
      </c>
      <c r="T167">
        <f>HYPERLINK("https://klasma.github.io/Logging_2180/kartor/A 18332-2023.png", "A 18332-2023")</f>
        <v/>
      </c>
      <c r="V167">
        <f>HYPERLINK("https://klasma.github.io/Logging_2180/klagomål/A 18332-2023.docx", "A 18332-2023")</f>
        <v/>
      </c>
      <c r="W167">
        <f>HYPERLINK("https://klasma.github.io/Logging_2180/klagomålsmail/A 18332-2023.docx", "A 18332-2023")</f>
        <v/>
      </c>
      <c r="X167">
        <f>HYPERLINK("https://klasma.github.io/Logging_2180/tillsyn/A 18332-2023.docx", "A 18332-2023")</f>
        <v/>
      </c>
      <c r="Y167">
        <f>HYPERLINK("https://klasma.github.io/Logging_2180/tillsynsmail/A 18332-2023.docx", "A 18332-2023")</f>
        <v/>
      </c>
    </row>
    <row r="168" ht="15" customHeight="1">
      <c r="A168" t="inlineStr">
        <is>
          <t>A 19549-2023</t>
        </is>
      </c>
      <c r="B168" s="1" t="n">
        <v>45050</v>
      </c>
      <c r="C168" s="1" t="n">
        <v>45209</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19549-2023.xlsx", "A 19549-2023")</f>
        <v/>
      </c>
      <c r="T168">
        <f>HYPERLINK("https://klasma.github.io/Logging_2104/kartor/A 19549-2023.png", "A 19549-2023")</f>
        <v/>
      </c>
      <c r="V168">
        <f>HYPERLINK("https://klasma.github.io/Logging_2104/klagomål/A 19549-2023.docx", "A 19549-2023")</f>
        <v/>
      </c>
      <c r="W168">
        <f>HYPERLINK("https://klasma.github.io/Logging_2104/klagomålsmail/A 19549-2023.docx", "A 19549-2023")</f>
        <v/>
      </c>
      <c r="X168">
        <f>HYPERLINK("https://klasma.github.io/Logging_2104/tillsyn/A 19549-2023.docx", "A 19549-2023")</f>
        <v/>
      </c>
      <c r="Y168">
        <f>HYPERLINK("https://klasma.github.io/Logging_2104/tillsynsmail/A 19549-2023.docx", "A 19549-2023")</f>
        <v/>
      </c>
    </row>
    <row r="169" ht="15" customHeight="1">
      <c r="A169" t="inlineStr">
        <is>
          <t>A 21956-2023</t>
        </is>
      </c>
      <c r="B169" s="1" t="n">
        <v>45068</v>
      </c>
      <c r="C169" s="1" t="n">
        <v>45209</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21956-2023.xlsx", "A 21956-2023")</f>
        <v/>
      </c>
      <c r="T169">
        <f>HYPERLINK("https://klasma.github.io/Logging_2101/kartor/A 21956-2023.png", "A 21956-2023")</f>
        <v/>
      </c>
      <c r="V169">
        <f>HYPERLINK("https://klasma.github.io/Logging_2101/klagomål/A 21956-2023.docx", "A 21956-2023")</f>
        <v/>
      </c>
      <c r="W169">
        <f>HYPERLINK("https://klasma.github.io/Logging_2101/klagomålsmail/A 21956-2023.docx", "A 21956-2023")</f>
        <v/>
      </c>
      <c r="X169">
        <f>HYPERLINK("https://klasma.github.io/Logging_2101/tillsyn/A 21956-2023.docx", "A 21956-2023")</f>
        <v/>
      </c>
      <c r="Y169">
        <f>HYPERLINK("https://klasma.github.io/Logging_2101/tillsynsmail/A 21956-2023.docx", "A 21956-2023")</f>
        <v/>
      </c>
    </row>
    <row r="170" ht="15" customHeight="1">
      <c r="A170" t="inlineStr">
        <is>
          <t>A 23838-2023</t>
        </is>
      </c>
      <c r="B170" s="1" t="n">
        <v>45078</v>
      </c>
      <c r="C170" s="1" t="n">
        <v>45209</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23838-2023.xlsx", "A 23838-2023")</f>
        <v/>
      </c>
      <c r="T170">
        <f>HYPERLINK("https://klasma.github.io/Logging_2184/kartor/A 23838-2023.png", "A 23838-2023")</f>
        <v/>
      </c>
      <c r="V170">
        <f>HYPERLINK("https://klasma.github.io/Logging_2184/klagomål/A 23838-2023.docx", "A 23838-2023")</f>
        <v/>
      </c>
      <c r="W170">
        <f>HYPERLINK("https://klasma.github.io/Logging_2184/klagomålsmail/A 23838-2023.docx", "A 23838-2023")</f>
        <v/>
      </c>
      <c r="X170">
        <f>HYPERLINK("https://klasma.github.io/Logging_2184/tillsyn/A 23838-2023.docx", "A 23838-2023")</f>
        <v/>
      </c>
      <c r="Y170">
        <f>HYPERLINK("https://klasma.github.io/Logging_2184/tillsynsmail/A 23838-2023.docx", "A 23838-2023")</f>
        <v/>
      </c>
    </row>
    <row r="171" ht="15" customHeight="1">
      <c r="A171" t="inlineStr">
        <is>
          <t>A 24802-2023</t>
        </is>
      </c>
      <c r="B171" s="1" t="n">
        <v>45084</v>
      </c>
      <c r="C171" s="1" t="n">
        <v>45209</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24802-2023.xlsx", "A 24802-2023")</f>
        <v/>
      </c>
      <c r="T171">
        <f>HYPERLINK("https://klasma.github.io/Logging_2181/kartor/A 24802-2023.png", "A 24802-2023")</f>
        <v/>
      </c>
      <c r="V171">
        <f>HYPERLINK("https://klasma.github.io/Logging_2181/klagomål/A 24802-2023.docx", "A 24802-2023")</f>
        <v/>
      </c>
      <c r="W171">
        <f>HYPERLINK("https://klasma.github.io/Logging_2181/klagomålsmail/A 24802-2023.docx", "A 24802-2023")</f>
        <v/>
      </c>
      <c r="X171">
        <f>HYPERLINK("https://klasma.github.io/Logging_2181/tillsyn/A 24802-2023.docx", "A 24802-2023")</f>
        <v/>
      </c>
      <c r="Y171">
        <f>HYPERLINK("https://klasma.github.io/Logging_2181/tillsynsmail/A 24802-2023.docx", "A 24802-2023")</f>
        <v/>
      </c>
    </row>
    <row r="172" ht="15" customHeight="1">
      <c r="A172" t="inlineStr">
        <is>
          <t>A 26522-2023</t>
        </is>
      </c>
      <c r="B172" s="1" t="n">
        <v>45092</v>
      </c>
      <c r="C172" s="1" t="n">
        <v>45209</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26522-2023.xlsx", "A 26522-2023")</f>
        <v/>
      </c>
      <c r="T172">
        <f>HYPERLINK("https://klasma.github.io/Logging_2183/kartor/A 26522-2023.png", "A 26522-2023")</f>
        <v/>
      </c>
      <c r="V172">
        <f>HYPERLINK("https://klasma.github.io/Logging_2183/klagomål/A 26522-2023.docx", "A 26522-2023")</f>
        <v/>
      </c>
      <c r="W172">
        <f>HYPERLINK("https://klasma.github.io/Logging_2183/klagomålsmail/A 26522-2023.docx", "A 26522-2023")</f>
        <v/>
      </c>
      <c r="X172">
        <f>HYPERLINK("https://klasma.github.io/Logging_2183/tillsyn/A 26522-2023.docx", "A 26522-2023")</f>
        <v/>
      </c>
      <c r="Y172">
        <f>HYPERLINK("https://klasma.github.io/Logging_2183/tillsynsmail/A 26522-2023.docx", "A 26522-2023")</f>
        <v/>
      </c>
    </row>
    <row r="173" ht="15" customHeight="1">
      <c r="A173" t="inlineStr">
        <is>
          <t>A 26487-2023</t>
        </is>
      </c>
      <c r="B173" s="1" t="n">
        <v>45092</v>
      </c>
      <c r="C173" s="1" t="n">
        <v>45209</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26487-2023.xlsx", "A 26487-2023")</f>
        <v/>
      </c>
      <c r="T173">
        <f>HYPERLINK("https://klasma.github.io/Logging_2161/kartor/A 26487-2023.png", "A 26487-2023")</f>
        <v/>
      </c>
      <c r="V173">
        <f>HYPERLINK("https://klasma.github.io/Logging_2161/klagomål/A 26487-2023.docx", "A 26487-2023")</f>
        <v/>
      </c>
      <c r="W173">
        <f>HYPERLINK("https://klasma.github.io/Logging_2161/klagomålsmail/A 26487-2023.docx", "A 26487-2023")</f>
        <v/>
      </c>
      <c r="X173">
        <f>HYPERLINK("https://klasma.github.io/Logging_2161/tillsyn/A 26487-2023.docx", "A 26487-2023")</f>
        <v/>
      </c>
      <c r="Y173">
        <f>HYPERLINK("https://klasma.github.io/Logging_2161/tillsynsmail/A 26487-2023.docx", "A 26487-2023")</f>
        <v/>
      </c>
    </row>
    <row r="174" ht="15" customHeight="1">
      <c r="A174" t="inlineStr">
        <is>
          <t>A 30237-2023</t>
        </is>
      </c>
      <c r="B174" s="1" t="n">
        <v>45110</v>
      </c>
      <c r="C174" s="1" t="n">
        <v>45209</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30237-2023.xlsx", "A 30237-2023")</f>
        <v/>
      </c>
      <c r="T174">
        <f>HYPERLINK("https://klasma.github.io/Logging_2161/kartor/A 30237-2023.png", "A 30237-2023")</f>
        <v/>
      </c>
      <c r="V174">
        <f>HYPERLINK("https://klasma.github.io/Logging_2161/klagomål/A 30237-2023.docx", "A 30237-2023")</f>
        <v/>
      </c>
      <c r="W174">
        <f>HYPERLINK("https://klasma.github.io/Logging_2161/klagomålsmail/A 30237-2023.docx", "A 30237-2023")</f>
        <v/>
      </c>
      <c r="X174">
        <f>HYPERLINK("https://klasma.github.io/Logging_2161/tillsyn/A 30237-2023.docx", "A 30237-2023")</f>
        <v/>
      </c>
      <c r="Y174">
        <f>HYPERLINK("https://klasma.github.io/Logging_2161/tillsynsmail/A 30237-2023.docx", "A 30237-2023")</f>
        <v/>
      </c>
    </row>
    <row r="175" ht="15" customHeight="1">
      <c r="A175" t="inlineStr">
        <is>
          <t>A 31541-2023</t>
        </is>
      </c>
      <c r="B175" s="1" t="n">
        <v>45117</v>
      </c>
      <c r="C175" s="1" t="n">
        <v>45209</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31541-2023.xlsx", "A 31541-2023")</f>
        <v/>
      </c>
      <c r="T175">
        <f>HYPERLINK("https://klasma.github.io/Logging_2180/kartor/A 31541-2023.png", "A 31541-2023")</f>
        <v/>
      </c>
      <c r="V175">
        <f>HYPERLINK("https://klasma.github.io/Logging_2180/klagomål/A 31541-2023.docx", "A 31541-2023")</f>
        <v/>
      </c>
      <c r="W175">
        <f>HYPERLINK("https://klasma.github.io/Logging_2180/klagomålsmail/A 31541-2023.docx", "A 31541-2023")</f>
        <v/>
      </c>
      <c r="X175">
        <f>HYPERLINK("https://klasma.github.io/Logging_2180/tillsyn/A 31541-2023.docx", "A 31541-2023")</f>
        <v/>
      </c>
      <c r="Y175">
        <f>HYPERLINK("https://klasma.github.io/Logging_2180/tillsynsmail/A 31541-2023.docx", "A 31541-2023")</f>
        <v/>
      </c>
    </row>
    <row r="176" ht="15" customHeight="1">
      <c r="A176" t="inlineStr">
        <is>
          <t>A 32502-2023</t>
        </is>
      </c>
      <c r="B176" s="1" t="n">
        <v>45121</v>
      </c>
      <c r="C176" s="1" t="n">
        <v>45209</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32502-2023.xlsx", "A 32502-2023")</f>
        <v/>
      </c>
      <c r="T176">
        <f>HYPERLINK("https://klasma.github.io/Logging_2161/kartor/A 32502-2023.png", "A 32502-2023")</f>
        <v/>
      </c>
      <c r="V176">
        <f>HYPERLINK("https://klasma.github.io/Logging_2161/klagomål/A 32502-2023.docx", "A 32502-2023")</f>
        <v/>
      </c>
      <c r="W176">
        <f>HYPERLINK("https://klasma.github.io/Logging_2161/klagomålsmail/A 32502-2023.docx", "A 32502-2023")</f>
        <v/>
      </c>
      <c r="X176">
        <f>HYPERLINK("https://klasma.github.io/Logging_2161/tillsyn/A 32502-2023.docx", "A 32502-2023")</f>
        <v/>
      </c>
      <c r="Y176">
        <f>HYPERLINK("https://klasma.github.io/Logging_2161/tillsynsmail/A 32502-2023.docx", "A 32502-2023")</f>
        <v/>
      </c>
    </row>
    <row r="177" ht="15" customHeight="1">
      <c r="A177" t="inlineStr">
        <is>
          <t>A 40857-2018</t>
        </is>
      </c>
      <c r="B177" s="1" t="n">
        <v>43347</v>
      </c>
      <c r="C177" s="1" t="n">
        <v>45209</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40857-2018.xlsx", "A 40857-2018")</f>
        <v/>
      </c>
      <c r="T177">
        <f>HYPERLINK("https://klasma.github.io/Logging_2161/kartor/A 40857-2018.png", "A 40857-2018")</f>
        <v/>
      </c>
      <c r="V177">
        <f>HYPERLINK("https://klasma.github.io/Logging_2161/klagomål/A 40857-2018.docx", "A 40857-2018")</f>
        <v/>
      </c>
      <c r="W177">
        <f>HYPERLINK("https://klasma.github.io/Logging_2161/klagomålsmail/A 40857-2018.docx", "A 40857-2018")</f>
        <v/>
      </c>
      <c r="X177">
        <f>HYPERLINK("https://klasma.github.io/Logging_2161/tillsyn/A 40857-2018.docx", "A 40857-2018")</f>
        <v/>
      </c>
      <c r="Y177">
        <f>HYPERLINK("https://klasma.github.io/Logging_2161/tillsynsmail/A 40857-2018.docx", "A 40857-2018")</f>
        <v/>
      </c>
    </row>
    <row r="178" ht="15" customHeight="1">
      <c r="A178" t="inlineStr">
        <is>
          <t>A 42220-2018</t>
        </is>
      </c>
      <c r="B178" s="1" t="n">
        <v>43349</v>
      </c>
      <c r="C178" s="1" t="n">
        <v>45209</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42220-2018.xlsx", "A 42220-2018")</f>
        <v/>
      </c>
      <c r="T178">
        <f>HYPERLINK("https://klasma.github.io/Logging_2121/kartor/A 42220-2018.png", "A 42220-2018")</f>
        <v/>
      </c>
      <c r="V178">
        <f>HYPERLINK("https://klasma.github.io/Logging_2121/klagomål/A 42220-2018.docx", "A 42220-2018")</f>
        <v/>
      </c>
      <c r="W178">
        <f>HYPERLINK("https://klasma.github.io/Logging_2121/klagomålsmail/A 42220-2018.docx", "A 42220-2018")</f>
        <v/>
      </c>
      <c r="X178">
        <f>HYPERLINK("https://klasma.github.io/Logging_2121/tillsyn/A 42220-2018.docx", "A 42220-2018")</f>
        <v/>
      </c>
      <c r="Y178">
        <f>HYPERLINK("https://klasma.github.io/Logging_2121/tillsynsmail/A 42220-2018.docx", "A 42220-2018")</f>
        <v/>
      </c>
    </row>
    <row r="179" ht="15" customHeight="1">
      <c r="A179" t="inlineStr">
        <is>
          <t>A 43261-2018</t>
        </is>
      </c>
      <c r="B179" s="1" t="n">
        <v>43355</v>
      </c>
      <c r="C179" s="1" t="n">
        <v>45209</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43261-2018.xlsx", "A 43261-2018")</f>
        <v/>
      </c>
      <c r="T179">
        <f>HYPERLINK("https://klasma.github.io/Logging_2161/kartor/A 43261-2018.png", "A 43261-2018")</f>
        <v/>
      </c>
      <c r="V179">
        <f>HYPERLINK("https://klasma.github.io/Logging_2161/klagomål/A 43261-2018.docx", "A 43261-2018")</f>
        <v/>
      </c>
      <c r="W179">
        <f>HYPERLINK("https://klasma.github.io/Logging_2161/klagomålsmail/A 43261-2018.docx", "A 43261-2018")</f>
        <v/>
      </c>
      <c r="X179">
        <f>HYPERLINK("https://klasma.github.io/Logging_2161/tillsyn/A 43261-2018.docx", "A 43261-2018")</f>
        <v/>
      </c>
      <c r="Y179">
        <f>HYPERLINK("https://klasma.github.io/Logging_2161/tillsynsmail/A 43261-2018.docx", "A 43261-2018")</f>
        <v/>
      </c>
    </row>
    <row r="180" ht="15" customHeight="1">
      <c r="A180" t="inlineStr">
        <is>
          <t>A 46314-2018</t>
        </is>
      </c>
      <c r="B180" s="1" t="n">
        <v>43367</v>
      </c>
      <c r="C180" s="1" t="n">
        <v>45209</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46314-2018.xlsx", "A 46314-2018")</f>
        <v/>
      </c>
      <c r="T180">
        <f>HYPERLINK("https://klasma.github.io/Logging_2161/kartor/A 46314-2018.png", "A 46314-2018")</f>
        <v/>
      </c>
      <c r="V180">
        <f>HYPERLINK("https://klasma.github.io/Logging_2161/klagomål/A 46314-2018.docx", "A 46314-2018")</f>
        <v/>
      </c>
      <c r="W180">
        <f>HYPERLINK("https://klasma.github.io/Logging_2161/klagomålsmail/A 46314-2018.docx", "A 46314-2018")</f>
        <v/>
      </c>
      <c r="X180">
        <f>HYPERLINK("https://klasma.github.io/Logging_2161/tillsyn/A 46314-2018.docx", "A 46314-2018")</f>
        <v/>
      </c>
      <c r="Y180">
        <f>HYPERLINK("https://klasma.github.io/Logging_2161/tillsynsmail/A 46314-2018.docx", "A 46314-2018")</f>
        <v/>
      </c>
    </row>
    <row r="181" ht="15" customHeight="1">
      <c r="A181" t="inlineStr">
        <is>
          <t>A 62144-2018</t>
        </is>
      </c>
      <c r="B181" s="1" t="n">
        <v>43385</v>
      </c>
      <c r="C181" s="1" t="n">
        <v>45209</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62144-2018.xlsx", "A 62144-2018")</f>
        <v/>
      </c>
      <c r="T181">
        <f>HYPERLINK("https://klasma.github.io/Logging_2161/kartor/A 62144-2018.png", "A 62144-2018")</f>
        <v/>
      </c>
      <c r="V181">
        <f>HYPERLINK("https://klasma.github.io/Logging_2161/klagomål/A 62144-2018.docx", "A 62144-2018")</f>
        <v/>
      </c>
      <c r="W181">
        <f>HYPERLINK("https://klasma.github.io/Logging_2161/klagomålsmail/A 62144-2018.docx", "A 62144-2018")</f>
        <v/>
      </c>
      <c r="X181">
        <f>HYPERLINK("https://klasma.github.io/Logging_2161/tillsyn/A 62144-2018.docx", "A 62144-2018")</f>
        <v/>
      </c>
      <c r="Y181">
        <f>HYPERLINK("https://klasma.github.io/Logging_2161/tillsynsmail/A 62144-2018.docx", "A 62144-2018")</f>
        <v/>
      </c>
    </row>
    <row r="182" ht="15" customHeight="1">
      <c r="A182" t="inlineStr">
        <is>
          <t>A 52010-2018</t>
        </is>
      </c>
      <c r="B182" s="1" t="n">
        <v>43385</v>
      </c>
      <c r="C182" s="1" t="n">
        <v>45209</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52010-2018.xlsx", "A 52010-2018")</f>
        <v/>
      </c>
      <c r="T182">
        <f>HYPERLINK("https://klasma.github.io/Logging_2161/kartor/A 52010-2018.png", "A 52010-2018")</f>
        <v/>
      </c>
      <c r="V182">
        <f>HYPERLINK("https://klasma.github.io/Logging_2161/klagomål/A 52010-2018.docx", "A 52010-2018")</f>
        <v/>
      </c>
      <c r="W182">
        <f>HYPERLINK("https://klasma.github.io/Logging_2161/klagomålsmail/A 52010-2018.docx", "A 52010-2018")</f>
        <v/>
      </c>
      <c r="X182">
        <f>HYPERLINK("https://klasma.github.io/Logging_2161/tillsyn/A 52010-2018.docx", "A 52010-2018")</f>
        <v/>
      </c>
      <c r="Y182">
        <f>HYPERLINK("https://klasma.github.io/Logging_2161/tillsynsmail/A 52010-2018.docx", "A 52010-2018")</f>
        <v/>
      </c>
    </row>
    <row r="183" ht="15" customHeight="1">
      <c r="A183" t="inlineStr">
        <is>
          <t>A 63969-2018</t>
        </is>
      </c>
      <c r="B183" s="1" t="n">
        <v>43389</v>
      </c>
      <c r="C183" s="1" t="n">
        <v>45209</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63969-2018.xlsx", "A 63969-2018")</f>
        <v/>
      </c>
      <c r="T183">
        <f>HYPERLINK("https://klasma.github.io/Logging_2161/kartor/A 63969-2018.png", "A 63969-2018")</f>
        <v/>
      </c>
      <c r="V183">
        <f>HYPERLINK("https://klasma.github.io/Logging_2161/klagomål/A 63969-2018.docx", "A 63969-2018")</f>
        <v/>
      </c>
      <c r="W183">
        <f>HYPERLINK("https://klasma.github.io/Logging_2161/klagomålsmail/A 63969-2018.docx", "A 63969-2018")</f>
        <v/>
      </c>
      <c r="X183">
        <f>HYPERLINK("https://klasma.github.io/Logging_2161/tillsyn/A 63969-2018.docx", "A 63969-2018")</f>
        <v/>
      </c>
      <c r="Y183">
        <f>HYPERLINK("https://klasma.github.io/Logging_2161/tillsynsmail/A 63969-2018.docx", "A 63969-2018")</f>
        <v/>
      </c>
    </row>
    <row r="184" ht="15" customHeight="1">
      <c r="A184" t="inlineStr">
        <is>
          <t>A 63515-2018</t>
        </is>
      </c>
      <c r="B184" s="1" t="n">
        <v>43427</v>
      </c>
      <c r="C184" s="1" t="n">
        <v>45209</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63515-2018.xlsx", "A 63515-2018")</f>
        <v/>
      </c>
      <c r="T184">
        <f>HYPERLINK("https://klasma.github.io/Logging_2182/kartor/A 63515-2018.png", "A 63515-2018")</f>
        <v/>
      </c>
      <c r="V184">
        <f>HYPERLINK("https://klasma.github.io/Logging_2182/klagomål/A 63515-2018.docx", "A 63515-2018")</f>
        <v/>
      </c>
      <c r="W184">
        <f>HYPERLINK("https://klasma.github.io/Logging_2182/klagomålsmail/A 63515-2018.docx", "A 63515-2018")</f>
        <v/>
      </c>
      <c r="X184">
        <f>HYPERLINK("https://klasma.github.io/Logging_2182/tillsyn/A 63515-2018.docx", "A 63515-2018")</f>
        <v/>
      </c>
      <c r="Y184">
        <f>HYPERLINK("https://klasma.github.io/Logging_2182/tillsynsmail/A 63515-2018.docx", "A 63515-2018")</f>
        <v/>
      </c>
    </row>
    <row r="185" ht="15" customHeight="1">
      <c r="A185" t="inlineStr">
        <is>
          <t>A 66106-2018</t>
        </is>
      </c>
      <c r="B185" s="1" t="n">
        <v>43434</v>
      </c>
      <c r="C185" s="1" t="n">
        <v>45209</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66106-2018.xlsx", "A 66106-2018")</f>
        <v/>
      </c>
      <c r="T185">
        <f>HYPERLINK("https://klasma.github.io/Logging_2181/kartor/A 66106-2018.png", "A 66106-2018")</f>
        <v/>
      </c>
      <c r="V185">
        <f>HYPERLINK("https://klasma.github.io/Logging_2181/klagomål/A 66106-2018.docx", "A 66106-2018")</f>
        <v/>
      </c>
      <c r="W185">
        <f>HYPERLINK("https://klasma.github.io/Logging_2181/klagomålsmail/A 66106-2018.docx", "A 66106-2018")</f>
        <v/>
      </c>
      <c r="X185">
        <f>HYPERLINK("https://klasma.github.io/Logging_2181/tillsyn/A 66106-2018.docx", "A 66106-2018")</f>
        <v/>
      </c>
      <c r="Y185">
        <f>HYPERLINK("https://klasma.github.io/Logging_2181/tillsynsmail/A 66106-2018.docx", "A 66106-2018")</f>
        <v/>
      </c>
    </row>
    <row r="186" ht="15" customHeight="1">
      <c r="A186" t="inlineStr">
        <is>
          <t>A 68968-2018</t>
        </is>
      </c>
      <c r="B186" s="1" t="n">
        <v>43445</v>
      </c>
      <c r="C186" s="1" t="n">
        <v>45209</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68968-2018.xlsx", "A 68968-2018")</f>
        <v/>
      </c>
      <c r="T186">
        <f>HYPERLINK("https://klasma.github.io/Logging_2161/kartor/A 68968-2018.png", "A 68968-2018")</f>
        <v/>
      </c>
      <c r="V186">
        <f>HYPERLINK("https://klasma.github.io/Logging_2161/klagomål/A 68968-2018.docx", "A 68968-2018")</f>
        <v/>
      </c>
      <c r="W186">
        <f>HYPERLINK("https://klasma.github.io/Logging_2161/klagomålsmail/A 68968-2018.docx", "A 68968-2018")</f>
        <v/>
      </c>
      <c r="X186">
        <f>HYPERLINK("https://klasma.github.io/Logging_2161/tillsyn/A 68968-2018.docx", "A 68968-2018")</f>
        <v/>
      </c>
      <c r="Y186">
        <f>HYPERLINK("https://klasma.github.io/Logging_2161/tillsynsmail/A 68968-2018.docx", "A 68968-2018")</f>
        <v/>
      </c>
    </row>
    <row r="187" ht="15" customHeight="1">
      <c r="A187" t="inlineStr">
        <is>
          <t>A 5448-2019</t>
        </is>
      </c>
      <c r="B187" s="1" t="n">
        <v>43481</v>
      </c>
      <c r="C187" s="1" t="n">
        <v>45209</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5448-2019.xlsx", "A 5448-2019")</f>
        <v/>
      </c>
      <c r="T187">
        <f>HYPERLINK("https://klasma.github.io/Logging_2161/kartor/A 5448-2019.png", "A 5448-2019")</f>
        <v/>
      </c>
      <c r="V187">
        <f>HYPERLINK("https://klasma.github.io/Logging_2161/klagomål/A 5448-2019.docx", "A 5448-2019")</f>
        <v/>
      </c>
      <c r="W187">
        <f>HYPERLINK("https://klasma.github.io/Logging_2161/klagomålsmail/A 5448-2019.docx", "A 5448-2019")</f>
        <v/>
      </c>
      <c r="X187">
        <f>HYPERLINK("https://klasma.github.io/Logging_2161/tillsyn/A 5448-2019.docx", "A 5448-2019")</f>
        <v/>
      </c>
      <c r="Y187">
        <f>HYPERLINK("https://klasma.github.io/Logging_2161/tillsynsmail/A 5448-2019.docx", "A 5448-2019")</f>
        <v/>
      </c>
    </row>
    <row r="188" ht="15" customHeight="1">
      <c r="A188" t="inlineStr">
        <is>
          <t>A 5605-2019</t>
        </is>
      </c>
      <c r="B188" s="1" t="n">
        <v>43489</v>
      </c>
      <c r="C188" s="1" t="n">
        <v>45209</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5605-2019.xlsx", "A 5605-2019")</f>
        <v/>
      </c>
      <c r="T188">
        <f>HYPERLINK("https://klasma.github.io/Logging_2101/kartor/A 5605-2019.png", "A 5605-2019")</f>
        <v/>
      </c>
      <c r="V188">
        <f>HYPERLINK("https://klasma.github.io/Logging_2101/klagomål/A 5605-2019.docx", "A 5605-2019")</f>
        <v/>
      </c>
      <c r="W188">
        <f>HYPERLINK("https://klasma.github.io/Logging_2101/klagomålsmail/A 5605-2019.docx", "A 5605-2019")</f>
        <v/>
      </c>
      <c r="X188">
        <f>HYPERLINK("https://klasma.github.io/Logging_2101/tillsyn/A 5605-2019.docx", "A 5605-2019")</f>
        <v/>
      </c>
      <c r="Y188">
        <f>HYPERLINK("https://klasma.github.io/Logging_2101/tillsynsmail/A 5605-2019.docx", "A 5605-2019")</f>
        <v/>
      </c>
    </row>
    <row r="189" ht="15" customHeight="1">
      <c r="A189" t="inlineStr">
        <is>
          <t>A 9038-2019</t>
        </is>
      </c>
      <c r="B189" s="1" t="n">
        <v>43504</v>
      </c>
      <c r="C189" s="1" t="n">
        <v>45209</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9038-2019.xlsx", "A 9038-2019")</f>
        <v/>
      </c>
      <c r="T189">
        <f>HYPERLINK("https://klasma.github.io/Logging_2132/kartor/A 9038-2019.png", "A 9038-2019")</f>
        <v/>
      </c>
      <c r="V189">
        <f>HYPERLINK("https://klasma.github.io/Logging_2132/klagomål/A 9038-2019.docx", "A 9038-2019")</f>
        <v/>
      </c>
      <c r="W189">
        <f>HYPERLINK("https://klasma.github.io/Logging_2132/klagomålsmail/A 9038-2019.docx", "A 9038-2019")</f>
        <v/>
      </c>
      <c r="X189">
        <f>HYPERLINK("https://klasma.github.io/Logging_2132/tillsyn/A 9038-2019.docx", "A 9038-2019")</f>
        <v/>
      </c>
      <c r="Y189">
        <f>HYPERLINK("https://klasma.github.io/Logging_2132/tillsynsmail/A 9038-2019.docx", "A 9038-2019")</f>
        <v/>
      </c>
    </row>
    <row r="190" ht="15" customHeight="1">
      <c r="A190" t="inlineStr">
        <is>
          <t>A 11693-2019</t>
        </is>
      </c>
      <c r="B190" s="1" t="n">
        <v>43518</v>
      </c>
      <c r="C190" s="1" t="n">
        <v>45209</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11693-2019.xlsx", "A 11693-2019")</f>
        <v/>
      </c>
      <c r="T190">
        <f>HYPERLINK("https://klasma.github.io/Logging_2101/kartor/A 11693-2019.png", "A 11693-2019")</f>
        <v/>
      </c>
      <c r="V190">
        <f>HYPERLINK("https://klasma.github.io/Logging_2101/klagomål/A 11693-2019.docx", "A 11693-2019")</f>
        <v/>
      </c>
      <c r="W190">
        <f>HYPERLINK("https://klasma.github.io/Logging_2101/klagomålsmail/A 11693-2019.docx", "A 11693-2019")</f>
        <v/>
      </c>
      <c r="X190">
        <f>HYPERLINK("https://klasma.github.io/Logging_2101/tillsyn/A 11693-2019.docx", "A 11693-2019")</f>
        <v/>
      </c>
      <c r="Y190">
        <f>HYPERLINK("https://klasma.github.io/Logging_2101/tillsynsmail/A 11693-2019.docx", "A 11693-2019")</f>
        <v/>
      </c>
    </row>
    <row r="191" ht="15" customHeight="1">
      <c r="A191" t="inlineStr">
        <is>
          <t>A 11884-2019</t>
        </is>
      </c>
      <c r="B191" s="1" t="n">
        <v>43521</v>
      </c>
      <c r="C191" s="1" t="n">
        <v>45209</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11884-2019.xlsx", "A 11884-2019")</f>
        <v/>
      </c>
      <c r="T191">
        <f>HYPERLINK("https://klasma.github.io/Logging_2121/kartor/A 11884-2019.png", "A 11884-2019")</f>
        <v/>
      </c>
      <c r="V191">
        <f>HYPERLINK("https://klasma.github.io/Logging_2121/klagomål/A 11884-2019.docx", "A 11884-2019")</f>
        <v/>
      </c>
      <c r="W191">
        <f>HYPERLINK("https://klasma.github.io/Logging_2121/klagomålsmail/A 11884-2019.docx", "A 11884-2019")</f>
        <v/>
      </c>
      <c r="X191">
        <f>HYPERLINK("https://klasma.github.io/Logging_2121/tillsyn/A 11884-2019.docx", "A 11884-2019")</f>
        <v/>
      </c>
      <c r="Y191">
        <f>HYPERLINK("https://klasma.github.io/Logging_2121/tillsynsmail/A 11884-2019.docx", "A 11884-2019")</f>
        <v/>
      </c>
    </row>
    <row r="192" ht="15" customHeight="1">
      <c r="A192" t="inlineStr">
        <is>
          <t>A 16460-2019</t>
        </is>
      </c>
      <c r="B192" s="1" t="n">
        <v>43546</v>
      </c>
      <c r="C192" s="1" t="n">
        <v>45209</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16460-2019.xlsx", "A 16460-2019")</f>
        <v/>
      </c>
      <c r="T192">
        <f>HYPERLINK("https://klasma.github.io/Logging_2181/kartor/A 16460-2019.png", "A 16460-2019")</f>
        <v/>
      </c>
      <c r="V192">
        <f>HYPERLINK("https://klasma.github.io/Logging_2181/klagomål/A 16460-2019.docx", "A 16460-2019")</f>
        <v/>
      </c>
      <c r="W192">
        <f>HYPERLINK("https://klasma.github.io/Logging_2181/klagomålsmail/A 16460-2019.docx", "A 16460-2019")</f>
        <v/>
      </c>
      <c r="X192">
        <f>HYPERLINK("https://klasma.github.io/Logging_2181/tillsyn/A 16460-2019.docx", "A 16460-2019")</f>
        <v/>
      </c>
      <c r="Y192">
        <f>HYPERLINK("https://klasma.github.io/Logging_2181/tillsynsmail/A 16460-2019.docx", "A 16460-2019")</f>
        <v/>
      </c>
    </row>
    <row r="193" ht="15" customHeight="1">
      <c r="A193" t="inlineStr">
        <is>
          <t>A 17966-2019</t>
        </is>
      </c>
      <c r="B193" s="1" t="n">
        <v>43557</v>
      </c>
      <c r="C193" s="1" t="n">
        <v>45209</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17966-2019.xlsx", "A 17966-2019")</f>
        <v/>
      </c>
      <c r="T193">
        <f>HYPERLINK("https://klasma.github.io/Logging_2161/kartor/A 17966-2019.png", "A 17966-2019")</f>
        <v/>
      </c>
      <c r="V193">
        <f>HYPERLINK("https://klasma.github.io/Logging_2161/klagomål/A 17966-2019.docx", "A 17966-2019")</f>
        <v/>
      </c>
      <c r="W193">
        <f>HYPERLINK("https://klasma.github.io/Logging_2161/klagomålsmail/A 17966-2019.docx", "A 17966-2019")</f>
        <v/>
      </c>
      <c r="X193">
        <f>HYPERLINK("https://klasma.github.io/Logging_2161/tillsyn/A 17966-2019.docx", "A 17966-2019")</f>
        <v/>
      </c>
      <c r="Y193">
        <f>HYPERLINK("https://klasma.github.io/Logging_2161/tillsynsmail/A 17966-2019.docx", "A 17966-2019")</f>
        <v/>
      </c>
    </row>
    <row r="194" ht="15" customHeight="1">
      <c r="A194" t="inlineStr">
        <is>
          <t>A 22616-2019</t>
        </is>
      </c>
      <c r="B194" s="1" t="n">
        <v>43588</v>
      </c>
      <c r="C194" s="1" t="n">
        <v>45209</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22616-2019.xlsx", "A 22616-2019")</f>
        <v/>
      </c>
      <c r="T194">
        <f>HYPERLINK("https://klasma.github.io/Logging_2180/kartor/A 22616-2019.png", "A 22616-2019")</f>
        <v/>
      </c>
      <c r="V194">
        <f>HYPERLINK("https://klasma.github.io/Logging_2180/klagomål/A 22616-2019.docx", "A 22616-2019")</f>
        <v/>
      </c>
      <c r="W194">
        <f>HYPERLINK("https://klasma.github.io/Logging_2180/klagomålsmail/A 22616-2019.docx", "A 22616-2019")</f>
        <v/>
      </c>
      <c r="X194">
        <f>HYPERLINK("https://klasma.github.io/Logging_2180/tillsyn/A 22616-2019.docx", "A 22616-2019")</f>
        <v/>
      </c>
      <c r="Y194">
        <f>HYPERLINK("https://klasma.github.io/Logging_2180/tillsynsmail/A 22616-2019.docx", "A 22616-2019")</f>
        <v/>
      </c>
    </row>
    <row r="195" ht="15" customHeight="1">
      <c r="A195" t="inlineStr">
        <is>
          <t>A 24535-2019</t>
        </is>
      </c>
      <c r="B195" s="1" t="n">
        <v>43600</v>
      </c>
      <c r="C195" s="1" t="n">
        <v>45209</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24535-2019.xlsx", "A 24535-2019")</f>
        <v/>
      </c>
      <c r="T195">
        <f>HYPERLINK("https://klasma.github.io/Logging_2183/kartor/A 24535-2019.png", "A 24535-2019")</f>
        <v/>
      </c>
      <c r="V195">
        <f>HYPERLINK("https://klasma.github.io/Logging_2183/klagomål/A 24535-2019.docx", "A 24535-2019")</f>
        <v/>
      </c>
      <c r="W195">
        <f>HYPERLINK("https://klasma.github.io/Logging_2183/klagomålsmail/A 24535-2019.docx", "A 24535-2019")</f>
        <v/>
      </c>
      <c r="X195">
        <f>HYPERLINK("https://klasma.github.io/Logging_2183/tillsyn/A 24535-2019.docx", "A 24535-2019")</f>
        <v/>
      </c>
      <c r="Y195">
        <f>HYPERLINK("https://klasma.github.io/Logging_2183/tillsynsmail/A 24535-2019.docx", "A 24535-2019")</f>
        <v/>
      </c>
    </row>
    <row r="196" ht="15" customHeight="1">
      <c r="A196" t="inlineStr">
        <is>
          <t>A 27515-2019</t>
        </is>
      </c>
      <c r="B196" s="1" t="n">
        <v>43619</v>
      </c>
      <c r="C196" s="1" t="n">
        <v>45209</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27515-2019.xlsx", "A 27515-2019")</f>
        <v/>
      </c>
      <c r="T196">
        <f>HYPERLINK("https://klasma.github.io/Logging_2183/kartor/A 27515-2019.png", "A 27515-2019")</f>
        <v/>
      </c>
      <c r="U196">
        <f>HYPERLINK("https://klasma.github.io/Logging_2183/knärot/A 27515-2019.png", "A 27515-2019")</f>
        <v/>
      </c>
      <c r="V196">
        <f>HYPERLINK("https://klasma.github.io/Logging_2183/klagomål/A 27515-2019.docx", "A 27515-2019")</f>
        <v/>
      </c>
      <c r="W196">
        <f>HYPERLINK("https://klasma.github.io/Logging_2183/klagomålsmail/A 27515-2019.docx", "A 27515-2019")</f>
        <v/>
      </c>
      <c r="X196">
        <f>HYPERLINK("https://klasma.github.io/Logging_2183/tillsyn/A 27515-2019.docx", "A 27515-2019")</f>
        <v/>
      </c>
      <c r="Y196">
        <f>HYPERLINK("https://klasma.github.io/Logging_2183/tillsynsmail/A 27515-2019.docx", "A 27515-2019")</f>
        <v/>
      </c>
    </row>
    <row r="197" ht="15" customHeight="1">
      <c r="A197" t="inlineStr">
        <is>
          <t>A 28268-2019</t>
        </is>
      </c>
      <c r="B197" s="1" t="n">
        <v>43623</v>
      </c>
      <c r="C197" s="1" t="n">
        <v>45209</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28268-2019.xlsx", "A 28268-2019")</f>
        <v/>
      </c>
      <c r="T197">
        <f>HYPERLINK("https://klasma.github.io/Logging_2184/kartor/A 28268-2019.png", "A 28268-2019")</f>
        <v/>
      </c>
      <c r="V197">
        <f>HYPERLINK("https://klasma.github.io/Logging_2184/klagomål/A 28268-2019.docx", "A 28268-2019")</f>
        <v/>
      </c>
      <c r="W197">
        <f>HYPERLINK("https://klasma.github.io/Logging_2184/klagomålsmail/A 28268-2019.docx", "A 28268-2019")</f>
        <v/>
      </c>
      <c r="X197">
        <f>HYPERLINK("https://klasma.github.io/Logging_2184/tillsyn/A 28268-2019.docx", "A 28268-2019")</f>
        <v/>
      </c>
      <c r="Y197">
        <f>HYPERLINK("https://klasma.github.io/Logging_2184/tillsynsmail/A 28268-2019.docx", "A 28268-2019")</f>
        <v/>
      </c>
    </row>
    <row r="198" ht="15" customHeight="1">
      <c r="A198" t="inlineStr">
        <is>
          <t>A 33547-2019</t>
        </is>
      </c>
      <c r="B198" s="1" t="n">
        <v>43651</v>
      </c>
      <c r="C198" s="1" t="n">
        <v>45209</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33547-2019.xlsx", "A 33547-2019")</f>
        <v/>
      </c>
      <c r="T198">
        <f>HYPERLINK("https://klasma.github.io/Logging_2184/kartor/A 33547-2019.png", "A 33547-2019")</f>
        <v/>
      </c>
      <c r="V198">
        <f>HYPERLINK("https://klasma.github.io/Logging_2184/klagomål/A 33547-2019.docx", "A 33547-2019")</f>
        <v/>
      </c>
      <c r="W198">
        <f>HYPERLINK("https://klasma.github.io/Logging_2184/klagomålsmail/A 33547-2019.docx", "A 33547-2019")</f>
        <v/>
      </c>
      <c r="X198">
        <f>HYPERLINK("https://klasma.github.io/Logging_2184/tillsyn/A 33547-2019.docx", "A 33547-2019")</f>
        <v/>
      </c>
      <c r="Y198">
        <f>HYPERLINK("https://klasma.github.io/Logging_2184/tillsynsmail/A 33547-2019.docx", "A 33547-2019")</f>
        <v/>
      </c>
    </row>
    <row r="199" ht="15" customHeight="1">
      <c r="A199" t="inlineStr">
        <is>
          <t>A 38174-2019</t>
        </is>
      </c>
      <c r="B199" s="1" t="n">
        <v>43684</v>
      </c>
      <c r="C199" s="1" t="n">
        <v>45209</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38174-2019.xlsx", "A 38174-2019")</f>
        <v/>
      </c>
      <c r="T199">
        <f>HYPERLINK("https://klasma.github.io/Logging_2104/kartor/A 38174-2019.png", "A 38174-2019")</f>
        <v/>
      </c>
      <c r="V199">
        <f>HYPERLINK("https://klasma.github.io/Logging_2104/klagomål/A 38174-2019.docx", "A 38174-2019")</f>
        <v/>
      </c>
      <c r="W199">
        <f>HYPERLINK("https://klasma.github.io/Logging_2104/klagomålsmail/A 38174-2019.docx", "A 38174-2019")</f>
        <v/>
      </c>
      <c r="X199">
        <f>HYPERLINK("https://klasma.github.io/Logging_2104/tillsyn/A 38174-2019.docx", "A 38174-2019")</f>
        <v/>
      </c>
      <c r="Y199">
        <f>HYPERLINK("https://klasma.github.io/Logging_2104/tillsynsmail/A 38174-2019.docx", "A 38174-2019")</f>
        <v/>
      </c>
    </row>
    <row r="200" ht="15" customHeight="1">
      <c r="A200" t="inlineStr">
        <is>
          <t>A 41576-2019</t>
        </is>
      </c>
      <c r="B200" s="1" t="n">
        <v>43699</v>
      </c>
      <c r="C200" s="1" t="n">
        <v>45209</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41576-2019.xlsx", "A 41576-2019")</f>
        <v/>
      </c>
      <c r="T200">
        <f>HYPERLINK("https://klasma.github.io/Logging_2132/kartor/A 41576-2019.png", "A 41576-2019")</f>
        <v/>
      </c>
      <c r="V200">
        <f>HYPERLINK("https://klasma.github.io/Logging_2132/klagomål/A 41576-2019.docx", "A 41576-2019")</f>
        <v/>
      </c>
      <c r="W200">
        <f>HYPERLINK("https://klasma.github.io/Logging_2132/klagomålsmail/A 41576-2019.docx", "A 41576-2019")</f>
        <v/>
      </c>
      <c r="X200">
        <f>HYPERLINK("https://klasma.github.io/Logging_2132/tillsyn/A 41576-2019.docx", "A 41576-2019")</f>
        <v/>
      </c>
      <c r="Y200">
        <f>HYPERLINK("https://klasma.github.io/Logging_2132/tillsynsmail/A 41576-2019.docx", "A 41576-2019")</f>
        <v/>
      </c>
    </row>
    <row r="201" ht="15" customHeight="1">
      <c r="A201" t="inlineStr">
        <is>
          <t>A 46192-2019</t>
        </is>
      </c>
      <c r="B201" s="1" t="n">
        <v>43718</v>
      </c>
      <c r="C201" s="1" t="n">
        <v>45209</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46192-2019.xlsx", "A 46192-2019")</f>
        <v/>
      </c>
      <c r="T201">
        <f>HYPERLINK("https://klasma.github.io/Logging_2181/kartor/A 46192-2019.png", "A 46192-2019")</f>
        <v/>
      </c>
      <c r="V201">
        <f>HYPERLINK("https://klasma.github.io/Logging_2181/klagomål/A 46192-2019.docx", "A 46192-2019")</f>
        <v/>
      </c>
      <c r="W201">
        <f>HYPERLINK("https://klasma.github.io/Logging_2181/klagomålsmail/A 46192-2019.docx", "A 46192-2019")</f>
        <v/>
      </c>
      <c r="X201">
        <f>HYPERLINK("https://klasma.github.io/Logging_2181/tillsyn/A 46192-2019.docx", "A 46192-2019")</f>
        <v/>
      </c>
      <c r="Y201">
        <f>HYPERLINK("https://klasma.github.io/Logging_2181/tillsynsmail/A 46192-2019.docx", "A 46192-2019")</f>
        <v/>
      </c>
    </row>
    <row r="202" ht="15" customHeight="1">
      <c r="A202" t="inlineStr">
        <is>
          <t>A 48604-2019</t>
        </is>
      </c>
      <c r="B202" s="1" t="n">
        <v>43727</v>
      </c>
      <c r="C202" s="1" t="n">
        <v>45209</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48604-2019.xlsx", "A 48604-2019")</f>
        <v/>
      </c>
      <c r="T202">
        <f>HYPERLINK("https://klasma.github.io/Logging_2184/kartor/A 48604-2019.png", "A 48604-2019")</f>
        <v/>
      </c>
      <c r="V202">
        <f>HYPERLINK("https://klasma.github.io/Logging_2184/klagomål/A 48604-2019.docx", "A 48604-2019")</f>
        <v/>
      </c>
      <c r="W202">
        <f>HYPERLINK("https://klasma.github.io/Logging_2184/klagomålsmail/A 48604-2019.docx", "A 48604-2019")</f>
        <v/>
      </c>
      <c r="X202">
        <f>HYPERLINK("https://klasma.github.io/Logging_2184/tillsyn/A 48604-2019.docx", "A 48604-2019")</f>
        <v/>
      </c>
      <c r="Y202">
        <f>HYPERLINK("https://klasma.github.io/Logging_2184/tillsynsmail/A 48604-2019.docx", "A 48604-2019")</f>
        <v/>
      </c>
    </row>
    <row r="203" ht="15" customHeight="1">
      <c r="A203" t="inlineStr">
        <is>
          <t>A 48775-2019</t>
        </is>
      </c>
      <c r="B203" s="1" t="n">
        <v>43727</v>
      </c>
      <c r="C203" s="1" t="n">
        <v>45209</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48775-2019.xlsx", "A 48775-2019")</f>
        <v/>
      </c>
      <c r="T203">
        <f>HYPERLINK("https://klasma.github.io/Logging_2181/kartor/A 48775-2019.png", "A 48775-2019")</f>
        <v/>
      </c>
      <c r="V203">
        <f>HYPERLINK("https://klasma.github.io/Logging_2181/klagomål/A 48775-2019.docx", "A 48775-2019")</f>
        <v/>
      </c>
      <c r="W203">
        <f>HYPERLINK("https://klasma.github.io/Logging_2181/klagomålsmail/A 48775-2019.docx", "A 48775-2019")</f>
        <v/>
      </c>
      <c r="X203">
        <f>HYPERLINK("https://klasma.github.io/Logging_2181/tillsyn/A 48775-2019.docx", "A 48775-2019")</f>
        <v/>
      </c>
      <c r="Y203">
        <f>HYPERLINK("https://klasma.github.io/Logging_2181/tillsynsmail/A 48775-2019.docx", "A 48775-2019")</f>
        <v/>
      </c>
    </row>
    <row r="204" ht="15" customHeight="1">
      <c r="A204" t="inlineStr">
        <is>
          <t>A 62064-2019</t>
        </is>
      </c>
      <c r="B204" s="1" t="n">
        <v>43787</v>
      </c>
      <c r="C204" s="1" t="n">
        <v>45209</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62064-2019.xlsx", "A 62064-2019")</f>
        <v/>
      </c>
      <c r="T204">
        <f>HYPERLINK("https://klasma.github.io/Logging_2101/kartor/A 62064-2019.png", "A 62064-2019")</f>
        <v/>
      </c>
      <c r="V204">
        <f>HYPERLINK("https://klasma.github.io/Logging_2101/klagomål/A 62064-2019.docx", "A 62064-2019")</f>
        <v/>
      </c>
      <c r="W204">
        <f>HYPERLINK("https://klasma.github.io/Logging_2101/klagomålsmail/A 62064-2019.docx", "A 62064-2019")</f>
        <v/>
      </c>
      <c r="X204">
        <f>HYPERLINK("https://klasma.github.io/Logging_2101/tillsyn/A 62064-2019.docx", "A 62064-2019")</f>
        <v/>
      </c>
      <c r="Y204">
        <f>HYPERLINK("https://klasma.github.io/Logging_2101/tillsynsmail/A 62064-2019.docx", "A 62064-2019")</f>
        <v/>
      </c>
    </row>
    <row r="205" ht="15" customHeight="1">
      <c r="A205" t="inlineStr">
        <is>
          <t>A 63545-2019</t>
        </is>
      </c>
      <c r="B205" s="1" t="n">
        <v>43794</v>
      </c>
      <c r="C205" s="1" t="n">
        <v>45209</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63545-2019.xlsx", "A 63545-2019")</f>
        <v/>
      </c>
      <c r="T205">
        <f>HYPERLINK("https://klasma.github.io/Logging_2183/kartor/A 63545-2019.png", "A 63545-2019")</f>
        <v/>
      </c>
      <c r="V205">
        <f>HYPERLINK("https://klasma.github.io/Logging_2183/klagomål/A 63545-2019.docx", "A 63545-2019")</f>
        <v/>
      </c>
      <c r="W205">
        <f>HYPERLINK("https://klasma.github.io/Logging_2183/klagomålsmail/A 63545-2019.docx", "A 63545-2019")</f>
        <v/>
      </c>
      <c r="X205">
        <f>HYPERLINK("https://klasma.github.io/Logging_2183/tillsyn/A 63545-2019.docx", "A 63545-2019")</f>
        <v/>
      </c>
      <c r="Y205">
        <f>HYPERLINK("https://klasma.github.io/Logging_2183/tillsynsmail/A 63545-2019.docx", "A 63545-2019")</f>
        <v/>
      </c>
    </row>
    <row r="206" ht="15" customHeight="1">
      <c r="A206" t="inlineStr">
        <is>
          <t>A 67154-2019</t>
        </is>
      </c>
      <c r="B206" s="1" t="n">
        <v>43811</v>
      </c>
      <c r="C206" s="1" t="n">
        <v>45209</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67154-2019.xlsx", "A 67154-2019")</f>
        <v/>
      </c>
      <c r="T206">
        <f>HYPERLINK("https://klasma.github.io/Logging_2161/kartor/A 67154-2019.png", "A 67154-2019")</f>
        <v/>
      </c>
      <c r="V206">
        <f>HYPERLINK("https://klasma.github.io/Logging_2161/klagomål/A 67154-2019.docx", "A 67154-2019")</f>
        <v/>
      </c>
      <c r="W206">
        <f>HYPERLINK("https://klasma.github.io/Logging_2161/klagomålsmail/A 67154-2019.docx", "A 67154-2019")</f>
        <v/>
      </c>
      <c r="X206">
        <f>HYPERLINK("https://klasma.github.io/Logging_2161/tillsyn/A 67154-2019.docx", "A 67154-2019")</f>
        <v/>
      </c>
      <c r="Y206">
        <f>HYPERLINK("https://klasma.github.io/Logging_2161/tillsynsmail/A 67154-2019.docx", "A 67154-2019")</f>
        <v/>
      </c>
    </row>
    <row r="207" ht="15" customHeight="1">
      <c r="A207" t="inlineStr">
        <is>
          <t>A 326-2020</t>
        </is>
      </c>
      <c r="B207" s="1" t="n">
        <v>43837</v>
      </c>
      <c r="C207" s="1" t="n">
        <v>45209</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326-2020.xlsx", "A 326-2020")</f>
        <v/>
      </c>
      <c r="T207">
        <f>HYPERLINK("https://klasma.github.io/Logging_2101/kartor/A 326-2020.png", "A 326-2020")</f>
        <v/>
      </c>
      <c r="V207">
        <f>HYPERLINK("https://klasma.github.io/Logging_2101/klagomål/A 326-2020.docx", "A 326-2020")</f>
        <v/>
      </c>
      <c r="W207">
        <f>HYPERLINK("https://klasma.github.io/Logging_2101/klagomålsmail/A 326-2020.docx", "A 326-2020")</f>
        <v/>
      </c>
      <c r="X207">
        <f>HYPERLINK("https://klasma.github.io/Logging_2101/tillsyn/A 326-2020.docx", "A 326-2020")</f>
        <v/>
      </c>
      <c r="Y207">
        <f>HYPERLINK("https://klasma.github.io/Logging_2101/tillsynsmail/A 326-2020.docx", "A 326-2020")</f>
        <v/>
      </c>
    </row>
    <row r="208" ht="15" customHeight="1">
      <c r="A208" t="inlineStr">
        <is>
          <t>A 1597-2020</t>
        </is>
      </c>
      <c r="B208" s="1" t="n">
        <v>43844</v>
      </c>
      <c r="C208" s="1" t="n">
        <v>45209</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1597-2020.xlsx", "A 1597-2020")</f>
        <v/>
      </c>
      <c r="T208">
        <f>HYPERLINK("https://klasma.github.io/Logging_2184/kartor/A 1597-2020.png", "A 1597-2020")</f>
        <v/>
      </c>
      <c r="V208">
        <f>HYPERLINK("https://klasma.github.io/Logging_2184/klagomål/A 1597-2020.docx", "A 1597-2020")</f>
        <v/>
      </c>
      <c r="W208">
        <f>HYPERLINK("https://klasma.github.io/Logging_2184/klagomålsmail/A 1597-2020.docx", "A 1597-2020")</f>
        <v/>
      </c>
      <c r="X208">
        <f>HYPERLINK("https://klasma.github.io/Logging_2184/tillsyn/A 1597-2020.docx", "A 1597-2020")</f>
        <v/>
      </c>
      <c r="Y208">
        <f>HYPERLINK("https://klasma.github.io/Logging_2184/tillsynsmail/A 1597-2020.docx", "A 1597-2020")</f>
        <v/>
      </c>
    </row>
    <row r="209" ht="15" customHeight="1">
      <c r="A209" t="inlineStr">
        <is>
          <t>A 5923-2020</t>
        </is>
      </c>
      <c r="B209" s="1" t="n">
        <v>43864</v>
      </c>
      <c r="C209" s="1" t="n">
        <v>45209</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5923-2020.xlsx", "A 5923-2020")</f>
        <v/>
      </c>
      <c r="T209">
        <f>HYPERLINK("https://klasma.github.io/Logging_2183/kartor/A 5923-2020.png", "A 5923-2020")</f>
        <v/>
      </c>
      <c r="V209">
        <f>HYPERLINK("https://klasma.github.io/Logging_2183/klagomål/A 5923-2020.docx", "A 5923-2020")</f>
        <v/>
      </c>
      <c r="W209">
        <f>HYPERLINK("https://klasma.github.io/Logging_2183/klagomålsmail/A 5923-2020.docx", "A 5923-2020")</f>
        <v/>
      </c>
      <c r="X209">
        <f>HYPERLINK("https://klasma.github.io/Logging_2183/tillsyn/A 5923-2020.docx", "A 5923-2020")</f>
        <v/>
      </c>
      <c r="Y209">
        <f>HYPERLINK("https://klasma.github.io/Logging_2183/tillsynsmail/A 5923-2020.docx", "A 5923-2020")</f>
        <v/>
      </c>
    </row>
    <row r="210" ht="15" customHeight="1">
      <c r="A210" t="inlineStr">
        <is>
          <t>A 7560-2020</t>
        </is>
      </c>
      <c r="B210" s="1" t="n">
        <v>43872</v>
      </c>
      <c r="C210" s="1" t="n">
        <v>45209</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7560-2020.xlsx", "A 7560-2020")</f>
        <v/>
      </c>
      <c r="T210">
        <f>HYPERLINK("https://klasma.github.io/Logging_2161/kartor/A 7560-2020.png", "A 7560-2020")</f>
        <v/>
      </c>
      <c r="V210">
        <f>HYPERLINK("https://klasma.github.io/Logging_2161/klagomål/A 7560-2020.docx", "A 7560-2020")</f>
        <v/>
      </c>
      <c r="W210">
        <f>HYPERLINK("https://klasma.github.io/Logging_2161/klagomålsmail/A 7560-2020.docx", "A 7560-2020")</f>
        <v/>
      </c>
      <c r="X210">
        <f>HYPERLINK("https://klasma.github.io/Logging_2161/tillsyn/A 7560-2020.docx", "A 7560-2020")</f>
        <v/>
      </c>
      <c r="Y210">
        <f>HYPERLINK("https://klasma.github.io/Logging_2161/tillsynsmail/A 7560-2020.docx", "A 7560-2020")</f>
        <v/>
      </c>
    </row>
    <row r="211" ht="15" customHeight="1">
      <c r="A211" t="inlineStr">
        <is>
          <t>A 8361-2020</t>
        </is>
      </c>
      <c r="B211" s="1" t="n">
        <v>43875</v>
      </c>
      <c r="C211" s="1" t="n">
        <v>45209</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8361-2020.xlsx", "A 8361-2020")</f>
        <v/>
      </c>
      <c r="T211">
        <f>HYPERLINK("https://klasma.github.io/Logging_2121/kartor/A 8361-2020.png", "A 8361-2020")</f>
        <v/>
      </c>
      <c r="V211">
        <f>HYPERLINK("https://klasma.github.io/Logging_2121/klagomål/A 8361-2020.docx", "A 8361-2020")</f>
        <v/>
      </c>
      <c r="W211">
        <f>HYPERLINK("https://klasma.github.io/Logging_2121/klagomålsmail/A 8361-2020.docx", "A 8361-2020")</f>
        <v/>
      </c>
      <c r="X211">
        <f>HYPERLINK("https://klasma.github.io/Logging_2121/tillsyn/A 8361-2020.docx", "A 8361-2020")</f>
        <v/>
      </c>
      <c r="Y211">
        <f>HYPERLINK("https://klasma.github.io/Logging_2121/tillsynsmail/A 8361-2020.docx", "A 8361-2020")</f>
        <v/>
      </c>
    </row>
    <row r="212" ht="15" customHeight="1">
      <c r="A212" t="inlineStr">
        <is>
          <t>A 9731-2020</t>
        </is>
      </c>
      <c r="B212" s="1" t="n">
        <v>43881</v>
      </c>
      <c r="C212" s="1" t="n">
        <v>45209</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9731-2020.xlsx", "A 9731-2020")</f>
        <v/>
      </c>
      <c r="T212">
        <f>HYPERLINK("https://klasma.github.io/Logging_2181/kartor/A 9731-2020.png", "A 9731-2020")</f>
        <v/>
      </c>
      <c r="V212">
        <f>HYPERLINK("https://klasma.github.io/Logging_2181/klagomål/A 9731-2020.docx", "A 9731-2020")</f>
        <v/>
      </c>
      <c r="W212">
        <f>HYPERLINK("https://klasma.github.io/Logging_2181/klagomålsmail/A 9731-2020.docx", "A 9731-2020")</f>
        <v/>
      </c>
      <c r="X212">
        <f>HYPERLINK("https://klasma.github.io/Logging_2181/tillsyn/A 9731-2020.docx", "A 9731-2020")</f>
        <v/>
      </c>
      <c r="Y212">
        <f>HYPERLINK("https://klasma.github.io/Logging_2181/tillsynsmail/A 9731-2020.docx", "A 9731-2020")</f>
        <v/>
      </c>
    </row>
    <row r="213" ht="15" customHeight="1">
      <c r="A213" t="inlineStr">
        <is>
          <t>A 10186-2020</t>
        </is>
      </c>
      <c r="B213" s="1" t="n">
        <v>43885</v>
      </c>
      <c r="C213" s="1" t="n">
        <v>45209</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10186-2020.xlsx", "A 10186-2020")</f>
        <v/>
      </c>
      <c r="T213">
        <f>HYPERLINK("https://klasma.github.io/Logging_2132/kartor/A 10186-2020.png", "A 10186-2020")</f>
        <v/>
      </c>
      <c r="V213">
        <f>HYPERLINK("https://klasma.github.io/Logging_2132/klagomål/A 10186-2020.docx", "A 10186-2020")</f>
        <v/>
      </c>
      <c r="W213">
        <f>HYPERLINK("https://klasma.github.io/Logging_2132/klagomålsmail/A 10186-2020.docx", "A 10186-2020")</f>
        <v/>
      </c>
      <c r="X213">
        <f>HYPERLINK("https://klasma.github.io/Logging_2132/tillsyn/A 10186-2020.docx", "A 10186-2020")</f>
        <v/>
      </c>
      <c r="Y213">
        <f>HYPERLINK("https://klasma.github.io/Logging_2132/tillsynsmail/A 10186-2020.docx", "A 10186-2020")</f>
        <v/>
      </c>
    </row>
    <row r="214" ht="15" customHeight="1">
      <c r="A214" t="inlineStr">
        <is>
          <t>A 13645-2020</t>
        </is>
      </c>
      <c r="B214" s="1" t="n">
        <v>43903</v>
      </c>
      <c r="C214" s="1" t="n">
        <v>45209</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13645-2020.xlsx", "A 13645-2020")</f>
        <v/>
      </c>
      <c r="T214">
        <f>HYPERLINK("https://klasma.github.io/Logging_2181/kartor/A 13645-2020.png", "A 13645-2020")</f>
        <v/>
      </c>
      <c r="V214">
        <f>HYPERLINK("https://klasma.github.io/Logging_2181/klagomål/A 13645-2020.docx", "A 13645-2020")</f>
        <v/>
      </c>
      <c r="W214">
        <f>HYPERLINK("https://klasma.github.io/Logging_2181/klagomålsmail/A 13645-2020.docx", "A 13645-2020")</f>
        <v/>
      </c>
      <c r="X214">
        <f>HYPERLINK("https://klasma.github.io/Logging_2181/tillsyn/A 13645-2020.docx", "A 13645-2020")</f>
        <v/>
      </c>
      <c r="Y214">
        <f>HYPERLINK("https://klasma.github.io/Logging_2181/tillsynsmail/A 13645-2020.docx", "A 13645-2020")</f>
        <v/>
      </c>
    </row>
    <row r="215" ht="15" customHeight="1">
      <c r="A215" t="inlineStr">
        <is>
          <t>A 14362-2020</t>
        </is>
      </c>
      <c r="B215" s="1" t="n">
        <v>43908</v>
      </c>
      <c r="C215" s="1" t="n">
        <v>45209</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14362-2020.xlsx", "A 14362-2020")</f>
        <v/>
      </c>
      <c r="T215">
        <f>HYPERLINK("https://klasma.github.io/Logging_2184/kartor/A 14362-2020.png", "A 14362-2020")</f>
        <v/>
      </c>
      <c r="V215">
        <f>HYPERLINK("https://klasma.github.io/Logging_2184/klagomål/A 14362-2020.docx", "A 14362-2020")</f>
        <v/>
      </c>
      <c r="W215">
        <f>HYPERLINK("https://klasma.github.io/Logging_2184/klagomålsmail/A 14362-2020.docx", "A 14362-2020")</f>
        <v/>
      </c>
      <c r="X215">
        <f>HYPERLINK("https://klasma.github.io/Logging_2184/tillsyn/A 14362-2020.docx", "A 14362-2020")</f>
        <v/>
      </c>
      <c r="Y215">
        <f>HYPERLINK("https://klasma.github.io/Logging_2184/tillsynsmail/A 14362-2020.docx", "A 14362-2020")</f>
        <v/>
      </c>
    </row>
    <row r="216" ht="15" customHeight="1">
      <c r="A216" t="inlineStr">
        <is>
          <t>A 16382-2020</t>
        </is>
      </c>
      <c r="B216" s="1" t="n">
        <v>43917</v>
      </c>
      <c r="C216" s="1" t="n">
        <v>45209</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16382-2020.xlsx", "A 16382-2020")</f>
        <v/>
      </c>
      <c r="T216">
        <f>HYPERLINK("https://klasma.github.io/Logging_2184/kartor/A 16382-2020.png", "A 16382-2020")</f>
        <v/>
      </c>
      <c r="V216">
        <f>HYPERLINK("https://klasma.github.io/Logging_2184/klagomål/A 16382-2020.docx", "A 16382-2020")</f>
        <v/>
      </c>
      <c r="W216">
        <f>HYPERLINK("https://klasma.github.io/Logging_2184/klagomålsmail/A 16382-2020.docx", "A 16382-2020")</f>
        <v/>
      </c>
      <c r="X216">
        <f>HYPERLINK("https://klasma.github.io/Logging_2184/tillsyn/A 16382-2020.docx", "A 16382-2020")</f>
        <v/>
      </c>
      <c r="Y216">
        <f>HYPERLINK("https://klasma.github.io/Logging_2184/tillsynsmail/A 16382-2020.docx", "A 16382-2020")</f>
        <v/>
      </c>
    </row>
    <row r="217" ht="15" customHeight="1">
      <c r="A217" t="inlineStr">
        <is>
          <t>A 19023-2020</t>
        </is>
      </c>
      <c r="B217" s="1" t="n">
        <v>43936</v>
      </c>
      <c r="C217" s="1" t="n">
        <v>45209</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19023-2020.xlsx", "A 19023-2020")</f>
        <v/>
      </c>
      <c r="T217">
        <f>HYPERLINK("https://klasma.github.io/Logging_2161/kartor/A 19023-2020.png", "A 19023-2020")</f>
        <v/>
      </c>
      <c r="V217">
        <f>HYPERLINK("https://klasma.github.io/Logging_2161/klagomål/A 19023-2020.docx", "A 19023-2020")</f>
        <v/>
      </c>
      <c r="W217">
        <f>HYPERLINK("https://klasma.github.io/Logging_2161/klagomålsmail/A 19023-2020.docx", "A 19023-2020")</f>
        <v/>
      </c>
      <c r="X217">
        <f>HYPERLINK("https://klasma.github.io/Logging_2161/tillsyn/A 19023-2020.docx", "A 19023-2020")</f>
        <v/>
      </c>
      <c r="Y217">
        <f>HYPERLINK("https://klasma.github.io/Logging_2161/tillsynsmail/A 19023-2020.docx", "A 19023-2020")</f>
        <v/>
      </c>
    </row>
    <row r="218" ht="15" customHeight="1">
      <c r="A218" t="inlineStr">
        <is>
          <t>A 19702-2020</t>
        </is>
      </c>
      <c r="B218" s="1" t="n">
        <v>43941</v>
      </c>
      <c r="C218" s="1" t="n">
        <v>45209</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19702-2020.xlsx", "A 19702-2020")</f>
        <v/>
      </c>
      <c r="T218">
        <f>HYPERLINK("https://klasma.github.io/Logging_2182/kartor/A 19702-2020.png", "A 19702-2020")</f>
        <v/>
      </c>
      <c r="V218">
        <f>HYPERLINK("https://klasma.github.io/Logging_2182/klagomål/A 19702-2020.docx", "A 19702-2020")</f>
        <v/>
      </c>
      <c r="W218">
        <f>HYPERLINK("https://klasma.github.io/Logging_2182/klagomålsmail/A 19702-2020.docx", "A 19702-2020")</f>
        <v/>
      </c>
      <c r="X218">
        <f>HYPERLINK("https://klasma.github.io/Logging_2182/tillsyn/A 19702-2020.docx", "A 19702-2020")</f>
        <v/>
      </c>
      <c r="Y218">
        <f>HYPERLINK("https://klasma.github.io/Logging_2182/tillsynsmail/A 19702-2020.docx", "A 19702-2020")</f>
        <v/>
      </c>
    </row>
    <row r="219" ht="15" customHeight="1">
      <c r="A219" t="inlineStr">
        <is>
          <t>A 19852-2020</t>
        </is>
      </c>
      <c r="B219" s="1" t="n">
        <v>43942</v>
      </c>
      <c r="C219" s="1" t="n">
        <v>45209</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19852-2020.xlsx", "A 19852-2020")</f>
        <v/>
      </c>
      <c r="T219">
        <f>HYPERLINK("https://klasma.github.io/Logging_2184/kartor/A 19852-2020.png", "A 19852-2020")</f>
        <v/>
      </c>
      <c r="V219">
        <f>HYPERLINK("https://klasma.github.io/Logging_2184/klagomål/A 19852-2020.docx", "A 19852-2020")</f>
        <v/>
      </c>
      <c r="W219">
        <f>HYPERLINK("https://klasma.github.io/Logging_2184/klagomålsmail/A 19852-2020.docx", "A 19852-2020")</f>
        <v/>
      </c>
      <c r="X219">
        <f>HYPERLINK("https://klasma.github.io/Logging_2184/tillsyn/A 19852-2020.docx", "A 19852-2020")</f>
        <v/>
      </c>
      <c r="Y219">
        <f>HYPERLINK("https://klasma.github.io/Logging_2184/tillsynsmail/A 19852-2020.docx", "A 19852-2020")</f>
        <v/>
      </c>
    </row>
    <row r="220" ht="15" customHeight="1">
      <c r="A220" t="inlineStr">
        <is>
          <t>A 25005-2020</t>
        </is>
      </c>
      <c r="B220" s="1" t="n">
        <v>43979</v>
      </c>
      <c r="C220" s="1" t="n">
        <v>45209</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25005-2020.xlsx", "A 25005-2020")</f>
        <v/>
      </c>
      <c r="T220">
        <f>HYPERLINK("https://klasma.github.io/Logging_2161/kartor/A 25005-2020.png", "A 25005-2020")</f>
        <v/>
      </c>
      <c r="V220">
        <f>HYPERLINK("https://klasma.github.io/Logging_2161/klagomål/A 25005-2020.docx", "A 25005-2020")</f>
        <v/>
      </c>
      <c r="W220">
        <f>HYPERLINK("https://klasma.github.io/Logging_2161/klagomålsmail/A 25005-2020.docx", "A 25005-2020")</f>
        <v/>
      </c>
      <c r="X220">
        <f>HYPERLINK("https://klasma.github.io/Logging_2161/tillsyn/A 25005-2020.docx", "A 25005-2020")</f>
        <v/>
      </c>
      <c r="Y220">
        <f>HYPERLINK("https://klasma.github.io/Logging_2161/tillsynsmail/A 25005-2020.docx", "A 25005-2020")</f>
        <v/>
      </c>
    </row>
    <row r="221" ht="15" customHeight="1">
      <c r="A221" t="inlineStr">
        <is>
          <t>A 25565-2020</t>
        </is>
      </c>
      <c r="B221" s="1" t="n">
        <v>43983</v>
      </c>
      <c r="C221" s="1" t="n">
        <v>45209</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25565-2020.xlsx", "A 25565-2020")</f>
        <v/>
      </c>
      <c r="T221">
        <f>HYPERLINK("https://klasma.github.io/Logging_2101/kartor/A 25565-2020.png", "A 25565-2020")</f>
        <v/>
      </c>
      <c r="V221">
        <f>HYPERLINK("https://klasma.github.io/Logging_2101/klagomål/A 25565-2020.docx", "A 25565-2020")</f>
        <v/>
      </c>
      <c r="W221">
        <f>HYPERLINK("https://klasma.github.io/Logging_2101/klagomålsmail/A 25565-2020.docx", "A 25565-2020")</f>
        <v/>
      </c>
      <c r="X221">
        <f>HYPERLINK("https://klasma.github.io/Logging_2101/tillsyn/A 25565-2020.docx", "A 25565-2020")</f>
        <v/>
      </c>
      <c r="Y221">
        <f>HYPERLINK("https://klasma.github.io/Logging_2101/tillsynsmail/A 25565-2020.docx", "A 25565-2020")</f>
        <v/>
      </c>
    </row>
    <row r="222" ht="15" customHeight="1">
      <c r="A222" t="inlineStr">
        <is>
          <t>A 30137-2020</t>
        </is>
      </c>
      <c r="B222" s="1" t="n">
        <v>44007</v>
      </c>
      <c r="C222" s="1" t="n">
        <v>45209</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30137-2020.xlsx", "A 30137-2020")</f>
        <v/>
      </c>
      <c r="T222">
        <f>HYPERLINK("https://klasma.github.io/Logging_2184/kartor/A 30137-2020.png", "A 30137-2020")</f>
        <v/>
      </c>
      <c r="V222">
        <f>HYPERLINK("https://klasma.github.io/Logging_2184/klagomål/A 30137-2020.docx", "A 30137-2020")</f>
        <v/>
      </c>
      <c r="W222">
        <f>HYPERLINK("https://klasma.github.io/Logging_2184/klagomålsmail/A 30137-2020.docx", "A 30137-2020")</f>
        <v/>
      </c>
      <c r="X222">
        <f>HYPERLINK("https://klasma.github.io/Logging_2184/tillsyn/A 30137-2020.docx", "A 30137-2020")</f>
        <v/>
      </c>
      <c r="Y222">
        <f>HYPERLINK("https://klasma.github.io/Logging_2184/tillsynsmail/A 30137-2020.docx", "A 30137-2020")</f>
        <v/>
      </c>
    </row>
    <row r="223" ht="15" customHeight="1">
      <c r="A223" t="inlineStr">
        <is>
          <t>A 30998-2020</t>
        </is>
      </c>
      <c r="B223" s="1" t="n">
        <v>44011</v>
      </c>
      <c r="C223" s="1" t="n">
        <v>45209</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30998-2020.xlsx", "A 30998-2020")</f>
        <v/>
      </c>
      <c r="T223">
        <f>HYPERLINK("https://klasma.github.io/Logging_2181/kartor/A 30998-2020.png", "A 30998-2020")</f>
        <v/>
      </c>
      <c r="V223">
        <f>HYPERLINK("https://klasma.github.io/Logging_2181/klagomål/A 30998-2020.docx", "A 30998-2020")</f>
        <v/>
      </c>
      <c r="W223">
        <f>HYPERLINK("https://klasma.github.io/Logging_2181/klagomålsmail/A 30998-2020.docx", "A 30998-2020")</f>
        <v/>
      </c>
      <c r="X223">
        <f>HYPERLINK("https://klasma.github.io/Logging_2181/tillsyn/A 30998-2020.docx", "A 30998-2020")</f>
        <v/>
      </c>
      <c r="Y223">
        <f>HYPERLINK("https://klasma.github.io/Logging_2181/tillsynsmail/A 30998-2020.docx", "A 30998-2020")</f>
        <v/>
      </c>
    </row>
    <row r="224" ht="15" customHeight="1">
      <c r="A224" t="inlineStr">
        <is>
          <t>A 32799-2020</t>
        </is>
      </c>
      <c r="B224" s="1" t="n">
        <v>44020</v>
      </c>
      <c r="C224" s="1" t="n">
        <v>45209</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32799-2020.xlsx", "A 32799-2020")</f>
        <v/>
      </c>
      <c r="T224">
        <f>HYPERLINK("https://klasma.github.io/Logging_2181/kartor/A 32799-2020.png", "A 32799-2020")</f>
        <v/>
      </c>
      <c r="V224">
        <f>HYPERLINK("https://klasma.github.io/Logging_2181/klagomål/A 32799-2020.docx", "A 32799-2020")</f>
        <v/>
      </c>
      <c r="W224">
        <f>HYPERLINK("https://klasma.github.io/Logging_2181/klagomålsmail/A 32799-2020.docx", "A 32799-2020")</f>
        <v/>
      </c>
      <c r="X224">
        <f>HYPERLINK("https://klasma.github.io/Logging_2181/tillsyn/A 32799-2020.docx", "A 32799-2020")</f>
        <v/>
      </c>
      <c r="Y224">
        <f>HYPERLINK("https://klasma.github.io/Logging_2181/tillsynsmail/A 32799-2020.docx", "A 32799-2020")</f>
        <v/>
      </c>
    </row>
    <row r="225" ht="15" customHeight="1">
      <c r="A225" t="inlineStr">
        <is>
          <t>A 35878-2020</t>
        </is>
      </c>
      <c r="B225" s="1" t="n">
        <v>44047</v>
      </c>
      <c r="C225" s="1" t="n">
        <v>45209</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35878-2020.xlsx", "A 35878-2020")</f>
        <v/>
      </c>
      <c r="T225">
        <f>HYPERLINK("https://klasma.github.io/Logging_2101/kartor/A 35878-2020.png", "A 35878-2020")</f>
        <v/>
      </c>
      <c r="U225">
        <f>HYPERLINK("https://klasma.github.io/Logging_2101/knärot/A 35878-2020.png", "A 35878-2020")</f>
        <v/>
      </c>
      <c r="V225">
        <f>HYPERLINK("https://klasma.github.io/Logging_2101/klagomål/A 35878-2020.docx", "A 35878-2020")</f>
        <v/>
      </c>
      <c r="W225">
        <f>HYPERLINK("https://klasma.github.io/Logging_2101/klagomålsmail/A 35878-2020.docx", "A 35878-2020")</f>
        <v/>
      </c>
      <c r="X225">
        <f>HYPERLINK("https://klasma.github.io/Logging_2101/tillsyn/A 35878-2020.docx", "A 35878-2020")</f>
        <v/>
      </c>
      <c r="Y225">
        <f>HYPERLINK("https://klasma.github.io/Logging_2101/tillsynsmail/A 35878-2020.docx", "A 35878-2020")</f>
        <v/>
      </c>
    </row>
    <row r="226" ht="15" customHeight="1">
      <c r="A226" t="inlineStr">
        <is>
          <t>A 38855-2020</t>
        </is>
      </c>
      <c r="B226" s="1" t="n">
        <v>44062</v>
      </c>
      <c r="C226" s="1" t="n">
        <v>45209</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38855-2020.xlsx", "A 38855-2020")</f>
        <v/>
      </c>
      <c r="T226">
        <f>HYPERLINK("https://klasma.github.io/Logging_2161/kartor/A 38855-2020.png", "A 38855-2020")</f>
        <v/>
      </c>
      <c r="U226">
        <f>HYPERLINK("https://klasma.github.io/Logging_2161/knärot/A 38855-2020.png", "A 38855-2020")</f>
        <v/>
      </c>
      <c r="V226">
        <f>HYPERLINK("https://klasma.github.io/Logging_2161/klagomål/A 38855-2020.docx", "A 38855-2020")</f>
        <v/>
      </c>
      <c r="W226">
        <f>HYPERLINK("https://klasma.github.io/Logging_2161/klagomålsmail/A 38855-2020.docx", "A 38855-2020")</f>
        <v/>
      </c>
      <c r="X226">
        <f>HYPERLINK("https://klasma.github.io/Logging_2161/tillsyn/A 38855-2020.docx", "A 38855-2020")</f>
        <v/>
      </c>
      <c r="Y226">
        <f>HYPERLINK("https://klasma.github.io/Logging_2161/tillsynsmail/A 38855-2020.docx", "A 38855-2020")</f>
        <v/>
      </c>
    </row>
    <row r="227" ht="15" customHeight="1">
      <c r="A227" t="inlineStr">
        <is>
          <t>A 40597-2020</t>
        </is>
      </c>
      <c r="B227" s="1" t="n">
        <v>44069</v>
      </c>
      <c r="C227" s="1" t="n">
        <v>45209</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40597-2020.xlsx", "A 40597-2020")</f>
        <v/>
      </c>
      <c r="T227">
        <f>HYPERLINK("https://klasma.github.io/Logging_2161/kartor/A 40597-2020.png", "A 40597-2020")</f>
        <v/>
      </c>
      <c r="V227">
        <f>HYPERLINK("https://klasma.github.io/Logging_2161/klagomål/A 40597-2020.docx", "A 40597-2020")</f>
        <v/>
      </c>
      <c r="W227">
        <f>HYPERLINK("https://klasma.github.io/Logging_2161/klagomålsmail/A 40597-2020.docx", "A 40597-2020")</f>
        <v/>
      </c>
      <c r="X227">
        <f>HYPERLINK("https://klasma.github.io/Logging_2161/tillsyn/A 40597-2020.docx", "A 40597-2020")</f>
        <v/>
      </c>
      <c r="Y227">
        <f>HYPERLINK("https://klasma.github.io/Logging_2161/tillsynsmail/A 40597-2020.docx", "A 40597-2020")</f>
        <v/>
      </c>
    </row>
    <row r="228" ht="15" customHeight="1">
      <c r="A228" t="inlineStr">
        <is>
          <t>A 43381-2020</t>
        </is>
      </c>
      <c r="B228" s="1" t="n">
        <v>44081</v>
      </c>
      <c r="C228" s="1" t="n">
        <v>45209</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43381-2020.xlsx", "A 43381-2020")</f>
        <v/>
      </c>
      <c r="T228">
        <f>HYPERLINK("https://klasma.github.io/Logging_2183/kartor/A 43381-2020.png", "A 43381-2020")</f>
        <v/>
      </c>
      <c r="V228">
        <f>HYPERLINK("https://klasma.github.io/Logging_2183/klagomål/A 43381-2020.docx", "A 43381-2020")</f>
        <v/>
      </c>
      <c r="W228">
        <f>HYPERLINK("https://klasma.github.io/Logging_2183/klagomålsmail/A 43381-2020.docx", "A 43381-2020")</f>
        <v/>
      </c>
      <c r="X228">
        <f>HYPERLINK("https://klasma.github.io/Logging_2183/tillsyn/A 43381-2020.docx", "A 43381-2020")</f>
        <v/>
      </c>
      <c r="Y228">
        <f>HYPERLINK("https://klasma.github.io/Logging_2183/tillsynsmail/A 43381-2020.docx", "A 43381-2020")</f>
        <v/>
      </c>
    </row>
    <row r="229" ht="15" customHeight="1">
      <c r="A229" t="inlineStr">
        <is>
          <t>A 44963-2020</t>
        </is>
      </c>
      <c r="B229" s="1" t="n">
        <v>44088</v>
      </c>
      <c r="C229" s="1" t="n">
        <v>45209</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44963-2020.xlsx", "A 44963-2020")</f>
        <v/>
      </c>
      <c r="T229">
        <f>HYPERLINK("https://klasma.github.io/Logging_2104/kartor/A 44963-2020.png", "A 44963-2020")</f>
        <v/>
      </c>
      <c r="V229">
        <f>HYPERLINK("https://klasma.github.io/Logging_2104/klagomål/A 44963-2020.docx", "A 44963-2020")</f>
        <v/>
      </c>
      <c r="W229">
        <f>HYPERLINK("https://klasma.github.io/Logging_2104/klagomålsmail/A 44963-2020.docx", "A 44963-2020")</f>
        <v/>
      </c>
      <c r="X229">
        <f>HYPERLINK("https://klasma.github.io/Logging_2104/tillsyn/A 44963-2020.docx", "A 44963-2020")</f>
        <v/>
      </c>
      <c r="Y229">
        <f>HYPERLINK("https://klasma.github.io/Logging_2104/tillsynsmail/A 44963-2020.docx", "A 44963-2020")</f>
        <v/>
      </c>
    </row>
    <row r="230" ht="15" customHeight="1">
      <c r="A230" t="inlineStr">
        <is>
          <t>A 58168-2020</t>
        </is>
      </c>
      <c r="B230" s="1" t="n">
        <v>44144</v>
      </c>
      <c r="C230" s="1" t="n">
        <v>45209</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58168-2020.xlsx", "A 58168-2020")</f>
        <v/>
      </c>
      <c r="T230">
        <f>HYPERLINK("https://klasma.github.io/Logging_2180/kartor/A 58168-2020.png", "A 58168-2020")</f>
        <v/>
      </c>
      <c r="U230">
        <f>HYPERLINK("https://klasma.github.io/Logging_2180/knärot/A 58168-2020.png", "A 58168-2020")</f>
        <v/>
      </c>
      <c r="V230">
        <f>HYPERLINK("https://klasma.github.io/Logging_2180/klagomål/A 58168-2020.docx", "A 58168-2020")</f>
        <v/>
      </c>
      <c r="W230">
        <f>HYPERLINK("https://klasma.github.io/Logging_2180/klagomålsmail/A 58168-2020.docx", "A 58168-2020")</f>
        <v/>
      </c>
      <c r="X230">
        <f>HYPERLINK("https://klasma.github.io/Logging_2180/tillsyn/A 58168-2020.docx", "A 58168-2020")</f>
        <v/>
      </c>
      <c r="Y230">
        <f>HYPERLINK("https://klasma.github.io/Logging_2180/tillsynsmail/A 58168-2020.docx", "A 58168-2020")</f>
        <v/>
      </c>
    </row>
    <row r="231" ht="15" customHeight="1">
      <c r="A231" t="inlineStr">
        <is>
          <t>A 62316-2020</t>
        </is>
      </c>
      <c r="B231" s="1" t="n">
        <v>44160</v>
      </c>
      <c r="C231" s="1" t="n">
        <v>45209</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62316-2020.xlsx", "A 62316-2020")</f>
        <v/>
      </c>
      <c r="T231">
        <f>HYPERLINK("https://klasma.github.io/Logging_2180/kartor/A 62316-2020.png", "A 62316-2020")</f>
        <v/>
      </c>
      <c r="V231">
        <f>HYPERLINK("https://klasma.github.io/Logging_2180/klagomål/A 62316-2020.docx", "A 62316-2020")</f>
        <v/>
      </c>
      <c r="W231">
        <f>HYPERLINK("https://klasma.github.io/Logging_2180/klagomålsmail/A 62316-2020.docx", "A 62316-2020")</f>
        <v/>
      </c>
      <c r="X231">
        <f>HYPERLINK("https://klasma.github.io/Logging_2180/tillsyn/A 62316-2020.docx", "A 62316-2020")</f>
        <v/>
      </c>
      <c r="Y231">
        <f>HYPERLINK("https://klasma.github.io/Logging_2180/tillsynsmail/A 62316-2020.docx", "A 62316-2020")</f>
        <v/>
      </c>
    </row>
    <row r="232" ht="15" customHeight="1">
      <c r="A232" t="inlineStr">
        <is>
          <t>A 65637-2020</t>
        </is>
      </c>
      <c r="B232" s="1" t="n">
        <v>44174</v>
      </c>
      <c r="C232" s="1" t="n">
        <v>45209</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65637-2020.xlsx", "A 65637-2020")</f>
        <v/>
      </c>
      <c r="T232">
        <f>HYPERLINK("https://klasma.github.io/Logging_2184/kartor/A 65637-2020.png", "A 65637-2020")</f>
        <v/>
      </c>
      <c r="V232">
        <f>HYPERLINK("https://klasma.github.io/Logging_2184/klagomål/A 65637-2020.docx", "A 65637-2020")</f>
        <v/>
      </c>
      <c r="W232">
        <f>HYPERLINK("https://klasma.github.io/Logging_2184/klagomålsmail/A 65637-2020.docx", "A 65637-2020")</f>
        <v/>
      </c>
      <c r="X232">
        <f>HYPERLINK("https://klasma.github.io/Logging_2184/tillsyn/A 65637-2020.docx", "A 65637-2020")</f>
        <v/>
      </c>
      <c r="Y232">
        <f>HYPERLINK("https://klasma.github.io/Logging_2184/tillsynsmail/A 65637-2020.docx", "A 65637-2020")</f>
        <v/>
      </c>
    </row>
    <row r="233" ht="15" customHeight="1">
      <c r="A233" t="inlineStr">
        <is>
          <t>A 13798-2021</t>
        </is>
      </c>
      <c r="B233" s="1" t="n">
        <v>44275</v>
      </c>
      <c r="C233" s="1" t="n">
        <v>45209</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13798-2021.xlsx", "A 13798-2021")</f>
        <v/>
      </c>
      <c r="T233">
        <f>HYPERLINK("https://klasma.github.io/Logging_2182/kartor/A 13798-2021.png", "A 13798-2021")</f>
        <v/>
      </c>
      <c r="V233">
        <f>HYPERLINK("https://klasma.github.io/Logging_2182/klagomål/A 13798-2021.docx", "A 13798-2021")</f>
        <v/>
      </c>
      <c r="W233">
        <f>HYPERLINK("https://klasma.github.io/Logging_2182/klagomålsmail/A 13798-2021.docx", "A 13798-2021")</f>
        <v/>
      </c>
      <c r="X233">
        <f>HYPERLINK("https://klasma.github.io/Logging_2182/tillsyn/A 13798-2021.docx", "A 13798-2021")</f>
        <v/>
      </c>
      <c r="Y233">
        <f>HYPERLINK("https://klasma.github.io/Logging_2182/tillsynsmail/A 13798-2021.docx", "A 13798-2021")</f>
        <v/>
      </c>
    </row>
    <row r="234" ht="15" customHeight="1">
      <c r="A234" t="inlineStr">
        <is>
          <t>A 14569-2021</t>
        </is>
      </c>
      <c r="B234" s="1" t="n">
        <v>44279</v>
      </c>
      <c r="C234" s="1" t="n">
        <v>45209</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14569-2021.xlsx", "A 14569-2021")</f>
        <v/>
      </c>
      <c r="T234">
        <f>HYPERLINK("https://klasma.github.io/Logging_2180/kartor/A 14569-2021.png", "A 14569-2021")</f>
        <v/>
      </c>
      <c r="V234">
        <f>HYPERLINK("https://klasma.github.io/Logging_2180/klagomål/A 14569-2021.docx", "A 14569-2021")</f>
        <v/>
      </c>
      <c r="W234">
        <f>HYPERLINK("https://klasma.github.io/Logging_2180/klagomålsmail/A 14569-2021.docx", "A 14569-2021")</f>
        <v/>
      </c>
      <c r="X234">
        <f>HYPERLINK("https://klasma.github.io/Logging_2180/tillsyn/A 14569-2021.docx", "A 14569-2021")</f>
        <v/>
      </c>
      <c r="Y234">
        <f>HYPERLINK("https://klasma.github.io/Logging_2180/tillsynsmail/A 14569-2021.docx", "A 14569-2021")</f>
        <v/>
      </c>
    </row>
    <row r="235" ht="15" customHeight="1">
      <c r="A235" t="inlineStr">
        <is>
          <t>A 22096-2021</t>
        </is>
      </c>
      <c r="B235" s="1" t="n">
        <v>44323</v>
      </c>
      <c r="C235" s="1" t="n">
        <v>45209</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22096-2021.xlsx", "A 22096-2021")</f>
        <v/>
      </c>
      <c r="T235">
        <f>HYPERLINK("https://klasma.github.io/Logging_2104/kartor/A 22096-2021.png", "A 22096-2021")</f>
        <v/>
      </c>
      <c r="U235">
        <f>HYPERLINK("https://klasma.github.io/Logging_2104/knärot/A 22096-2021.png", "A 22096-2021")</f>
        <v/>
      </c>
      <c r="V235">
        <f>HYPERLINK("https://klasma.github.io/Logging_2104/klagomål/A 22096-2021.docx", "A 22096-2021")</f>
        <v/>
      </c>
      <c r="W235">
        <f>HYPERLINK("https://klasma.github.io/Logging_2104/klagomålsmail/A 22096-2021.docx", "A 22096-2021")</f>
        <v/>
      </c>
      <c r="X235">
        <f>HYPERLINK("https://klasma.github.io/Logging_2104/tillsyn/A 22096-2021.docx", "A 22096-2021")</f>
        <v/>
      </c>
      <c r="Y235">
        <f>HYPERLINK("https://klasma.github.io/Logging_2104/tillsynsmail/A 22096-2021.docx", "A 22096-2021")</f>
        <v/>
      </c>
    </row>
    <row r="236" ht="15" customHeight="1">
      <c r="A236" t="inlineStr">
        <is>
          <t>A 25490-2021</t>
        </is>
      </c>
      <c r="B236" s="1" t="n">
        <v>44342</v>
      </c>
      <c r="C236" s="1" t="n">
        <v>45209</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25490-2021.xlsx", "A 25490-2021")</f>
        <v/>
      </c>
      <c r="T236">
        <f>HYPERLINK("https://klasma.github.io/Logging_2161/kartor/A 25490-2021.png", "A 25490-2021")</f>
        <v/>
      </c>
      <c r="U236">
        <f>HYPERLINK("https://klasma.github.io/Logging_2161/knärot/A 25490-2021.png", "A 25490-2021")</f>
        <v/>
      </c>
      <c r="V236">
        <f>HYPERLINK("https://klasma.github.io/Logging_2161/klagomål/A 25490-2021.docx", "A 25490-2021")</f>
        <v/>
      </c>
      <c r="W236">
        <f>HYPERLINK("https://klasma.github.io/Logging_2161/klagomålsmail/A 25490-2021.docx", "A 25490-2021")</f>
        <v/>
      </c>
      <c r="X236">
        <f>HYPERLINK("https://klasma.github.io/Logging_2161/tillsyn/A 25490-2021.docx", "A 25490-2021")</f>
        <v/>
      </c>
      <c r="Y236">
        <f>HYPERLINK("https://klasma.github.io/Logging_2161/tillsynsmail/A 25490-2021.docx", "A 25490-2021")</f>
        <v/>
      </c>
    </row>
    <row r="237" ht="15" customHeight="1">
      <c r="A237" t="inlineStr">
        <is>
          <t>A 30954-2021</t>
        </is>
      </c>
      <c r="B237" s="1" t="n">
        <v>44365</v>
      </c>
      <c r="C237" s="1" t="n">
        <v>45209</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30954-2021.xlsx", "A 30954-2021")</f>
        <v/>
      </c>
      <c r="T237">
        <f>HYPERLINK("https://klasma.github.io/Logging_2121/kartor/A 30954-2021.png", "A 30954-2021")</f>
        <v/>
      </c>
      <c r="V237">
        <f>HYPERLINK("https://klasma.github.io/Logging_2121/klagomål/A 30954-2021.docx", "A 30954-2021")</f>
        <v/>
      </c>
      <c r="W237">
        <f>HYPERLINK("https://klasma.github.io/Logging_2121/klagomålsmail/A 30954-2021.docx", "A 30954-2021")</f>
        <v/>
      </c>
      <c r="X237">
        <f>HYPERLINK("https://klasma.github.io/Logging_2121/tillsyn/A 30954-2021.docx", "A 30954-2021")</f>
        <v/>
      </c>
      <c r="Y237">
        <f>HYPERLINK("https://klasma.github.io/Logging_2121/tillsynsmail/A 30954-2021.docx", "A 30954-2021")</f>
        <v/>
      </c>
    </row>
    <row r="238" ht="15" customHeight="1">
      <c r="A238" t="inlineStr">
        <is>
          <t>A 34192-2021</t>
        </is>
      </c>
      <c r="B238" s="1" t="n">
        <v>44379</v>
      </c>
      <c r="C238" s="1" t="n">
        <v>45209</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34192-2021.xlsx", "A 34192-2021")</f>
        <v/>
      </c>
      <c r="T238">
        <f>HYPERLINK("https://klasma.github.io/Logging_2161/kartor/A 34192-2021.png", "A 34192-2021")</f>
        <v/>
      </c>
      <c r="V238">
        <f>HYPERLINK("https://klasma.github.io/Logging_2161/klagomål/A 34192-2021.docx", "A 34192-2021")</f>
        <v/>
      </c>
      <c r="W238">
        <f>HYPERLINK("https://klasma.github.io/Logging_2161/klagomålsmail/A 34192-2021.docx", "A 34192-2021")</f>
        <v/>
      </c>
      <c r="X238">
        <f>HYPERLINK("https://klasma.github.io/Logging_2161/tillsyn/A 34192-2021.docx", "A 34192-2021")</f>
        <v/>
      </c>
      <c r="Y238">
        <f>HYPERLINK("https://klasma.github.io/Logging_2161/tillsynsmail/A 34192-2021.docx", "A 34192-2021")</f>
        <v/>
      </c>
    </row>
    <row r="239" ht="15" customHeight="1">
      <c r="A239" t="inlineStr">
        <is>
          <t>A 34219-2021</t>
        </is>
      </c>
      <c r="B239" s="1" t="n">
        <v>44379</v>
      </c>
      <c r="C239" s="1" t="n">
        <v>45209</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34219-2021.xlsx", "A 34219-2021")</f>
        <v/>
      </c>
      <c r="T239">
        <f>HYPERLINK("https://klasma.github.io/Logging_2121/kartor/A 34219-2021.png", "A 34219-2021")</f>
        <v/>
      </c>
      <c r="V239">
        <f>HYPERLINK("https://klasma.github.io/Logging_2121/klagomål/A 34219-2021.docx", "A 34219-2021")</f>
        <v/>
      </c>
      <c r="W239">
        <f>HYPERLINK("https://klasma.github.io/Logging_2121/klagomålsmail/A 34219-2021.docx", "A 34219-2021")</f>
        <v/>
      </c>
      <c r="X239">
        <f>HYPERLINK("https://klasma.github.io/Logging_2121/tillsyn/A 34219-2021.docx", "A 34219-2021")</f>
        <v/>
      </c>
      <c r="Y239">
        <f>HYPERLINK("https://klasma.github.io/Logging_2121/tillsynsmail/A 34219-2021.docx", "A 34219-2021")</f>
        <v/>
      </c>
    </row>
    <row r="240" ht="15" customHeight="1">
      <c r="A240" t="inlineStr">
        <is>
          <t>A 38115-2021</t>
        </is>
      </c>
      <c r="B240" s="1" t="n">
        <v>44405</v>
      </c>
      <c r="C240" s="1" t="n">
        <v>45209</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38115-2021.xlsx", "A 38115-2021")</f>
        <v/>
      </c>
      <c r="T240">
        <f>HYPERLINK("https://klasma.github.io/Logging_2161/kartor/A 38115-2021.png", "A 38115-2021")</f>
        <v/>
      </c>
      <c r="U240">
        <f>HYPERLINK("https://klasma.github.io/Logging_2161/knärot/A 38115-2021.png", "A 38115-2021")</f>
        <v/>
      </c>
      <c r="V240">
        <f>HYPERLINK("https://klasma.github.io/Logging_2161/klagomål/A 38115-2021.docx", "A 38115-2021")</f>
        <v/>
      </c>
      <c r="W240">
        <f>HYPERLINK("https://klasma.github.io/Logging_2161/klagomålsmail/A 38115-2021.docx", "A 38115-2021")</f>
        <v/>
      </c>
      <c r="X240">
        <f>HYPERLINK("https://klasma.github.io/Logging_2161/tillsyn/A 38115-2021.docx", "A 38115-2021")</f>
        <v/>
      </c>
      <c r="Y240">
        <f>HYPERLINK("https://klasma.github.io/Logging_2161/tillsynsmail/A 38115-2021.docx", "A 38115-2021")</f>
        <v/>
      </c>
    </row>
    <row r="241" ht="15" customHeight="1">
      <c r="A241" t="inlineStr">
        <is>
          <t>A 38388-2021</t>
        </is>
      </c>
      <c r="B241" s="1" t="n">
        <v>44406</v>
      </c>
      <c r="C241" s="1" t="n">
        <v>45209</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38388-2021.xlsx", "A 38388-2021")</f>
        <v/>
      </c>
      <c r="T241">
        <f>HYPERLINK("https://klasma.github.io/Logging_2161/kartor/A 38388-2021.png", "A 38388-2021")</f>
        <v/>
      </c>
      <c r="V241">
        <f>HYPERLINK("https://klasma.github.io/Logging_2161/klagomål/A 38388-2021.docx", "A 38388-2021")</f>
        <v/>
      </c>
      <c r="W241">
        <f>HYPERLINK("https://klasma.github.io/Logging_2161/klagomålsmail/A 38388-2021.docx", "A 38388-2021")</f>
        <v/>
      </c>
      <c r="X241">
        <f>HYPERLINK("https://klasma.github.io/Logging_2161/tillsyn/A 38388-2021.docx", "A 38388-2021")</f>
        <v/>
      </c>
      <c r="Y241">
        <f>HYPERLINK("https://klasma.github.io/Logging_2161/tillsynsmail/A 38388-2021.docx", "A 38388-2021")</f>
        <v/>
      </c>
    </row>
    <row r="242" ht="15" customHeight="1">
      <c r="A242" t="inlineStr">
        <is>
          <t>A 43383-2021</t>
        </is>
      </c>
      <c r="B242" s="1" t="n">
        <v>44432</v>
      </c>
      <c r="C242" s="1" t="n">
        <v>45209</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43383-2021.xlsx", "A 43383-2021")</f>
        <v/>
      </c>
      <c r="T242">
        <f>HYPERLINK("https://klasma.github.io/Logging_2161/kartor/A 43383-2021.png", "A 43383-2021")</f>
        <v/>
      </c>
      <c r="V242">
        <f>HYPERLINK("https://klasma.github.io/Logging_2161/klagomål/A 43383-2021.docx", "A 43383-2021")</f>
        <v/>
      </c>
      <c r="W242">
        <f>HYPERLINK("https://klasma.github.io/Logging_2161/klagomålsmail/A 43383-2021.docx", "A 43383-2021")</f>
        <v/>
      </c>
      <c r="X242">
        <f>HYPERLINK("https://klasma.github.io/Logging_2161/tillsyn/A 43383-2021.docx", "A 43383-2021")</f>
        <v/>
      </c>
      <c r="Y242">
        <f>HYPERLINK("https://klasma.github.io/Logging_2161/tillsynsmail/A 43383-2021.docx", "A 43383-2021")</f>
        <v/>
      </c>
    </row>
    <row r="243" ht="15" customHeight="1">
      <c r="A243" t="inlineStr">
        <is>
          <t>A 44694-2021</t>
        </is>
      </c>
      <c r="B243" s="1" t="n">
        <v>44438</v>
      </c>
      <c r="C243" s="1" t="n">
        <v>45209</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44694-2021.xlsx", "A 44694-2021")</f>
        <v/>
      </c>
      <c r="T243">
        <f>HYPERLINK("https://klasma.github.io/Logging_2161/kartor/A 44694-2021.png", "A 44694-2021")</f>
        <v/>
      </c>
      <c r="V243">
        <f>HYPERLINK("https://klasma.github.io/Logging_2161/klagomål/A 44694-2021.docx", "A 44694-2021")</f>
        <v/>
      </c>
      <c r="W243">
        <f>HYPERLINK("https://klasma.github.io/Logging_2161/klagomålsmail/A 44694-2021.docx", "A 44694-2021")</f>
        <v/>
      </c>
      <c r="X243">
        <f>HYPERLINK("https://klasma.github.io/Logging_2161/tillsyn/A 44694-2021.docx", "A 44694-2021")</f>
        <v/>
      </c>
      <c r="Y243">
        <f>HYPERLINK("https://klasma.github.io/Logging_2161/tillsynsmail/A 44694-2021.docx", "A 44694-2021")</f>
        <v/>
      </c>
    </row>
    <row r="244" ht="15" customHeight="1">
      <c r="A244" t="inlineStr">
        <is>
          <t>A 48180-2021</t>
        </is>
      </c>
      <c r="B244" s="1" t="n">
        <v>44449</v>
      </c>
      <c r="C244" s="1" t="n">
        <v>45209</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48180-2021.xlsx", "A 48180-2021")</f>
        <v/>
      </c>
      <c r="T244">
        <f>HYPERLINK("https://klasma.github.io/Logging_2161/kartor/A 48180-2021.png", "A 48180-2021")</f>
        <v/>
      </c>
      <c r="V244">
        <f>HYPERLINK("https://klasma.github.io/Logging_2161/klagomål/A 48180-2021.docx", "A 48180-2021")</f>
        <v/>
      </c>
      <c r="W244">
        <f>HYPERLINK("https://klasma.github.io/Logging_2161/klagomålsmail/A 48180-2021.docx", "A 48180-2021")</f>
        <v/>
      </c>
      <c r="X244">
        <f>HYPERLINK("https://klasma.github.io/Logging_2161/tillsyn/A 48180-2021.docx", "A 48180-2021")</f>
        <v/>
      </c>
      <c r="Y244">
        <f>HYPERLINK("https://klasma.github.io/Logging_2161/tillsynsmail/A 48180-2021.docx", "A 48180-2021")</f>
        <v/>
      </c>
    </row>
    <row r="245" ht="15" customHeight="1">
      <c r="A245" t="inlineStr">
        <is>
          <t>A 51574-2021</t>
        </is>
      </c>
      <c r="B245" s="1" t="n">
        <v>44462</v>
      </c>
      <c r="C245" s="1" t="n">
        <v>45209</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51574-2021.xlsx", "A 51574-2021")</f>
        <v/>
      </c>
      <c r="T245">
        <f>HYPERLINK("https://klasma.github.io/Logging_2101/kartor/A 51574-2021.png", "A 51574-2021")</f>
        <v/>
      </c>
      <c r="V245">
        <f>HYPERLINK("https://klasma.github.io/Logging_2101/klagomål/A 51574-2021.docx", "A 51574-2021")</f>
        <v/>
      </c>
      <c r="W245">
        <f>HYPERLINK("https://klasma.github.io/Logging_2101/klagomålsmail/A 51574-2021.docx", "A 51574-2021")</f>
        <v/>
      </c>
      <c r="X245">
        <f>HYPERLINK("https://klasma.github.io/Logging_2101/tillsyn/A 51574-2021.docx", "A 51574-2021")</f>
        <v/>
      </c>
      <c r="Y245">
        <f>HYPERLINK("https://klasma.github.io/Logging_2101/tillsynsmail/A 51574-2021.docx", "A 51574-2021")</f>
        <v/>
      </c>
    </row>
    <row r="246" ht="15" customHeight="1">
      <c r="A246" t="inlineStr">
        <is>
          <t>A 54828-2021</t>
        </is>
      </c>
      <c r="B246" s="1" t="n">
        <v>44473</v>
      </c>
      <c r="C246" s="1" t="n">
        <v>45209</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54828-2021.xlsx", "A 54828-2021")</f>
        <v/>
      </c>
      <c r="T246">
        <f>HYPERLINK("https://klasma.github.io/Logging_2104/kartor/A 54828-2021.png", "A 54828-2021")</f>
        <v/>
      </c>
      <c r="U246">
        <f>HYPERLINK("https://klasma.github.io/Logging_2104/knärot/A 54828-2021.png", "A 54828-2021")</f>
        <v/>
      </c>
      <c r="V246">
        <f>HYPERLINK("https://klasma.github.io/Logging_2104/klagomål/A 54828-2021.docx", "A 54828-2021")</f>
        <v/>
      </c>
      <c r="W246">
        <f>HYPERLINK("https://klasma.github.io/Logging_2104/klagomålsmail/A 54828-2021.docx", "A 54828-2021")</f>
        <v/>
      </c>
      <c r="X246">
        <f>HYPERLINK("https://klasma.github.io/Logging_2104/tillsyn/A 54828-2021.docx", "A 54828-2021")</f>
        <v/>
      </c>
      <c r="Y246">
        <f>HYPERLINK("https://klasma.github.io/Logging_2104/tillsynsmail/A 54828-2021.docx", "A 54828-2021")</f>
        <v/>
      </c>
    </row>
    <row r="247" ht="15" customHeight="1">
      <c r="A247" t="inlineStr">
        <is>
          <t>A 56589-2021</t>
        </is>
      </c>
      <c r="B247" s="1" t="n">
        <v>44480</v>
      </c>
      <c r="C247" s="1" t="n">
        <v>45209</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56589-2021.xlsx", "A 56589-2021")</f>
        <v/>
      </c>
      <c r="T247">
        <f>HYPERLINK("https://klasma.github.io/Logging_2161/kartor/A 56589-2021.png", "A 56589-2021")</f>
        <v/>
      </c>
      <c r="V247">
        <f>HYPERLINK("https://klasma.github.io/Logging_2161/klagomål/A 56589-2021.docx", "A 56589-2021")</f>
        <v/>
      </c>
      <c r="W247">
        <f>HYPERLINK("https://klasma.github.io/Logging_2161/klagomålsmail/A 56589-2021.docx", "A 56589-2021")</f>
        <v/>
      </c>
      <c r="X247">
        <f>HYPERLINK("https://klasma.github.io/Logging_2161/tillsyn/A 56589-2021.docx", "A 56589-2021")</f>
        <v/>
      </c>
      <c r="Y247">
        <f>HYPERLINK("https://klasma.github.io/Logging_2161/tillsynsmail/A 56589-2021.docx", "A 56589-2021")</f>
        <v/>
      </c>
    </row>
    <row r="248" ht="15" customHeight="1">
      <c r="A248" t="inlineStr">
        <is>
          <t>A 58900-2021</t>
        </is>
      </c>
      <c r="B248" s="1" t="n">
        <v>44489</v>
      </c>
      <c r="C248" s="1" t="n">
        <v>45209</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58900-2021.xlsx", "A 58900-2021")</f>
        <v/>
      </c>
      <c r="T248">
        <f>HYPERLINK("https://klasma.github.io/Logging_2161/kartor/A 58900-2021.png", "A 58900-2021")</f>
        <v/>
      </c>
      <c r="V248">
        <f>HYPERLINK("https://klasma.github.io/Logging_2161/klagomål/A 58900-2021.docx", "A 58900-2021")</f>
        <v/>
      </c>
      <c r="W248">
        <f>HYPERLINK("https://klasma.github.io/Logging_2161/klagomålsmail/A 58900-2021.docx", "A 58900-2021")</f>
        <v/>
      </c>
      <c r="X248">
        <f>HYPERLINK("https://klasma.github.io/Logging_2161/tillsyn/A 58900-2021.docx", "A 58900-2021")</f>
        <v/>
      </c>
      <c r="Y248">
        <f>HYPERLINK("https://klasma.github.io/Logging_2161/tillsynsmail/A 58900-2021.docx", "A 58900-2021")</f>
        <v/>
      </c>
    </row>
    <row r="249" ht="15" customHeight="1">
      <c r="A249" t="inlineStr">
        <is>
          <t>A 58828-2021</t>
        </is>
      </c>
      <c r="B249" s="1" t="n">
        <v>44489</v>
      </c>
      <c r="C249" s="1" t="n">
        <v>45209</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58828-2021.xlsx", "A 58828-2021")</f>
        <v/>
      </c>
      <c r="T249">
        <f>HYPERLINK("https://klasma.github.io/Logging_2132/kartor/A 58828-2021.png", "A 58828-2021")</f>
        <v/>
      </c>
      <c r="V249">
        <f>HYPERLINK("https://klasma.github.io/Logging_2132/klagomål/A 58828-2021.docx", "A 58828-2021")</f>
        <v/>
      </c>
      <c r="W249">
        <f>HYPERLINK("https://klasma.github.io/Logging_2132/klagomålsmail/A 58828-2021.docx", "A 58828-2021")</f>
        <v/>
      </c>
      <c r="X249">
        <f>HYPERLINK("https://klasma.github.io/Logging_2132/tillsyn/A 58828-2021.docx", "A 58828-2021")</f>
        <v/>
      </c>
      <c r="Y249">
        <f>HYPERLINK("https://klasma.github.io/Logging_2132/tillsynsmail/A 58828-2021.docx", "A 58828-2021")</f>
        <v/>
      </c>
    </row>
    <row r="250" ht="15" customHeight="1">
      <c r="A250" t="inlineStr">
        <is>
          <t>A 59607-2021</t>
        </is>
      </c>
      <c r="B250" s="1" t="n">
        <v>44491</v>
      </c>
      <c r="C250" s="1" t="n">
        <v>45209</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59607-2021.xlsx", "A 59607-2021")</f>
        <v/>
      </c>
      <c r="T250">
        <f>HYPERLINK("https://klasma.github.io/Logging_2161/kartor/A 59607-2021.png", "A 59607-2021")</f>
        <v/>
      </c>
      <c r="U250">
        <f>HYPERLINK("https://klasma.github.io/Logging_2161/knärot/A 59607-2021.png", "A 59607-2021")</f>
        <v/>
      </c>
      <c r="V250">
        <f>HYPERLINK("https://klasma.github.io/Logging_2161/klagomål/A 59607-2021.docx", "A 59607-2021")</f>
        <v/>
      </c>
      <c r="W250">
        <f>HYPERLINK("https://klasma.github.io/Logging_2161/klagomålsmail/A 59607-2021.docx", "A 59607-2021")</f>
        <v/>
      </c>
      <c r="X250">
        <f>HYPERLINK("https://klasma.github.io/Logging_2161/tillsyn/A 59607-2021.docx", "A 59607-2021")</f>
        <v/>
      </c>
      <c r="Y250">
        <f>HYPERLINK("https://klasma.github.io/Logging_2161/tillsynsmail/A 59607-2021.docx", "A 59607-2021")</f>
        <v/>
      </c>
    </row>
    <row r="251" ht="15" customHeight="1">
      <c r="A251" t="inlineStr">
        <is>
          <t>A 64604-2021</t>
        </is>
      </c>
      <c r="B251" s="1" t="n">
        <v>44511</v>
      </c>
      <c r="C251" s="1" t="n">
        <v>45209</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64604-2021.xlsx", "A 64604-2021")</f>
        <v/>
      </c>
      <c r="T251">
        <f>HYPERLINK("https://klasma.github.io/Logging_2104/kartor/A 64604-2021.png", "A 64604-2021")</f>
        <v/>
      </c>
      <c r="V251">
        <f>HYPERLINK("https://klasma.github.io/Logging_2104/klagomål/A 64604-2021.docx", "A 64604-2021")</f>
        <v/>
      </c>
      <c r="W251">
        <f>HYPERLINK("https://klasma.github.io/Logging_2104/klagomålsmail/A 64604-2021.docx", "A 64604-2021")</f>
        <v/>
      </c>
      <c r="X251">
        <f>HYPERLINK("https://klasma.github.io/Logging_2104/tillsyn/A 64604-2021.docx", "A 64604-2021")</f>
        <v/>
      </c>
      <c r="Y251">
        <f>HYPERLINK("https://klasma.github.io/Logging_2104/tillsynsmail/A 64604-2021.docx", "A 64604-2021")</f>
        <v/>
      </c>
    </row>
    <row r="252" ht="15" customHeight="1">
      <c r="A252" t="inlineStr">
        <is>
          <t>A 65446-2021</t>
        </is>
      </c>
      <c r="B252" s="1" t="n">
        <v>44515</v>
      </c>
      <c r="C252" s="1" t="n">
        <v>45209</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65446-2021.xlsx", "A 65446-2021")</f>
        <v/>
      </c>
      <c r="T252">
        <f>HYPERLINK("https://klasma.github.io/Logging_2183/kartor/A 65446-2021.png", "A 65446-2021")</f>
        <v/>
      </c>
      <c r="V252">
        <f>HYPERLINK("https://klasma.github.io/Logging_2183/klagomål/A 65446-2021.docx", "A 65446-2021")</f>
        <v/>
      </c>
      <c r="W252">
        <f>HYPERLINK("https://klasma.github.io/Logging_2183/klagomålsmail/A 65446-2021.docx", "A 65446-2021")</f>
        <v/>
      </c>
      <c r="X252">
        <f>HYPERLINK("https://klasma.github.io/Logging_2183/tillsyn/A 65446-2021.docx", "A 65446-2021")</f>
        <v/>
      </c>
      <c r="Y252">
        <f>HYPERLINK("https://klasma.github.io/Logging_2183/tillsynsmail/A 65446-2021.docx", "A 65446-2021")</f>
        <v/>
      </c>
    </row>
    <row r="253" ht="15" customHeight="1">
      <c r="A253" t="inlineStr">
        <is>
          <t>A 66495-2021</t>
        </is>
      </c>
      <c r="B253" s="1" t="n">
        <v>44519</v>
      </c>
      <c r="C253" s="1" t="n">
        <v>45209</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66495-2021.xlsx", "A 66495-2021")</f>
        <v/>
      </c>
      <c r="T253">
        <f>HYPERLINK("https://klasma.github.io/Logging_2180/kartor/A 66495-2021.png", "A 66495-2021")</f>
        <v/>
      </c>
      <c r="V253">
        <f>HYPERLINK("https://klasma.github.io/Logging_2180/klagomål/A 66495-2021.docx", "A 66495-2021")</f>
        <v/>
      </c>
      <c r="W253">
        <f>HYPERLINK("https://klasma.github.io/Logging_2180/klagomålsmail/A 66495-2021.docx", "A 66495-2021")</f>
        <v/>
      </c>
      <c r="X253">
        <f>HYPERLINK("https://klasma.github.io/Logging_2180/tillsyn/A 66495-2021.docx", "A 66495-2021")</f>
        <v/>
      </c>
      <c r="Y253">
        <f>HYPERLINK("https://klasma.github.io/Logging_2180/tillsynsmail/A 66495-2021.docx", "A 66495-2021")</f>
        <v/>
      </c>
    </row>
    <row r="254" ht="15" customHeight="1">
      <c r="A254" t="inlineStr">
        <is>
          <t>A 68162-2021</t>
        </is>
      </c>
      <c r="B254" s="1" t="n">
        <v>44526</v>
      </c>
      <c r="C254" s="1" t="n">
        <v>45209</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68162-2021.xlsx", "A 68162-2021")</f>
        <v/>
      </c>
      <c r="T254">
        <f>HYPERLINK("https://klasma.github.io/Logging_2184/kartor/A 68162-2021.png", "A 68162-2021")</f>
        <v/>
      </c>
      <c r="V254">
        <f>HYPERLINK("https://klasma.github.io/Logging_2184/klagomål/A 68162-2021.docx", "A 68162-2021")</f>
        <v/>
      </c>
      <c r="W254">
        <f>HYPERLINK("https://klasma.github.io/Logging_2184/klagomålsmail/A 68162-2021.docx", "A 68162-2021")</f>
        <v/>
      </c>
      <c r="X254">
        <f>HYPERLINK("https://klasma.github.io/Logging_2184/tillsyn/A 68162-2021.docx", "A 68162-2021")</f>
        <v/>
      </c>
      <c r="Y254">
        <f>HYPERLINK("https://klasma.github.io/Logging_2184/tillsynsmail/A 68162-2021.docx", "A 68162-2021")</f>
        <v/>
      </c>
    </row>
    <row r="255" ht="15" customHeight="1">
      <c r="A255" t="inlineStr">
        <is>
          <t>A 6779-2022</t>
        </is>
      </c>
      <c r="B255" s="1" t="n">
        <v>44602</v>
      </c>
      <c r="C255" s="1" t="n">
        <v>45209</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6779-2022.xlsx", "A 6779-2022")</f>
        <v/>
      </c>
      <c r="T255">
        <f>HYPERLINK("https://klasma.github.io/Logging_2180/kartor/A 6779-2022.png", "A 6779-2022")</f>
        <v/>
      </c>
      <c r="V255">
        <f>HYPERLINK("https://klasma.github.io/Logging_2180/klagomål/A 6779-2022.docx", "A 6779-2022")</f>
        <v/>
      </c>
      <c r="W255">
        <f>HYPERLINK("https://klasma.github.io/Logging_2180/klagomålsmail/A 6779-2022.docx", "A 6779-2022")</f>
        <v/>
      </c>
      <c r="X255">
        <f>HYPERLINK("https://klasma.github.io/Logging_2180/tillsyn/A 6779-2022.docx", "A 6779-2022")</f>
        <v/>
      </c>
      <c r="Y255">
        <f>HYPERLINK("https://klasma.github.io/Logging_2180/tillsynsmail/A 6779-2022.docx", "A 6779-2022")</f>
        <v/>
      </c>
    </row>
    <row r="256" ht="15" customHeight="1">
      <c r="A256" t="inlineStr">
        <is>
          <t>A 15102-2022</t>
        </is>
      </c>
      <c r="B256" s="1" t="n">
        <v>44658</v>
      </c>
      <c r="C256" s="1" t="n">
        <v>45209</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15102-2022.xlsx", "A 15102-2022")</f>
        <v/>
      </c>
      <c r="T256">
        <f>HYPERLINK("https://klasma.github.io/Logging_2180/kartor/A 15102-2022.png", "A 15102-2022")</f>
        <v/>
      </c>
      <c r="V256">
        <f>HYPERLINK("https://klasma.github.io/Logging_2180/klagomål/A 15102-2022.docx", "A 15102-2022")</f>
        <v/>
      </c>
      <c r="W256">
        <f>HYPERLINK("https://klasma.github.io/Logging_2180/klagomålsmail/A 15102-2022.docx", "A 15102-2022")</f>
        <v/>
      </c>
      <c r="X256">
        <f>HYPERLINK("https://klasma.github.io/Logging_2180/tillsyn/A 15102-2022.docx", "A 15102-2022")</f>
        <v/>
      </c>
      <c r="Y256">
        <f>HYPERLINK("https://klasma.github.io/Logging_2180/tillsynsmail/A 15102-2022.docx", "A 15102-2022")</f>
        <v/>
      </c>
    </row>
    <row r="257" ht="15" customHeight="1">
      <c r="A257" t="inlineStr">
        <is>
          <t>A 15470-2022</t>
        </is>
      </c>
      <c r="B257" s="1" t="n">
        <v>44662</v>
      </c>
      <c r="C257" s="1" t="n">
        <v>45209</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15470-2022.xlsx", "A 15470-2022")</f>
        <v/>
      </c>
      <c r="T257">
        <f>HYPERLINK("https://klasma.github.io/Logging_2161/kartor/A 15470-2022.png", "A 15470-2022")</f>
        <v/>
      </c>
      <c r="U257">
        <f>HYPERLINK("https://klasma.github.io/Logging_2161/knärot/A 15470-2022.png", "A 15470-2022")</f>
        <v/>
      </c>
      <c r="V257">
        <f>HYPERLINK("https://klasma.github.io/Logging_2161/klagomål/A 15470-2022.docx", "A 15470-2022")</f>
        <v/>
      </c>
      <c r="W257">
        <f>HYPERLINK("https://klasma.github.io/Logging_2161/klagomålsmail/A 15470-2022.docx", "A 15470-2022")</f>
        <v/>
      </c>
      <c r="X257">
        <f>HYPERLINK("https://klasma.github.io/Logging_2161/tillsyn/A 15470-2022.docx", "A 15470-2022")</f>
        <v/>
      </c>
      <c r="Y257">
        <f>HYPERLINK("https://klasma.github.io/Logging_2161/tillsynsmail/A 15470-2022.docx", "A 15470-2022")</f>
        <v/>
      </c>
    </row>
    <row r="258" ht="15" customHeight="1">
      <c r="A258" t="inlineStr">
        <is>
          <t>A 15729-2022</t>
        </is>
      </c>
      <c r="B258" s="1" t="n">
        <v>44663</v>
      </c>
      <c r="C258" s="1" t="n">
        <v>45209</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15729-2022.xlsx", "A 15729-2022")</f>
        <v/>
      </c>
      <c r="T258">
        <f>HYPERLINK("https://klasma.github.io/Logging_2181/kartor/A 15729-2022.png", "A 15729-2022")</f>
        <v/>
      </c>
      <c r="U258">
        <f>HYPERLINK("https://klasma.github.io/Logging_2181/knärot/A 15729-2022.png", "A 15729-2022")</f>
        <v/>
      </c>
      <c r="V258">
        <f>HYPERLINK("https://klasma.github.io/Logging_2181/klagomål/A 15729-2022.docx", "A 15729-2022")</f>
        <v/>
      </c>
      <c r="W258">
        <f>HYPERLINK("https://klasma.github.io/Logging_2181/klagomålsmail/A 15729-2022.docx", "A 15729-2022")</f>
        <v/>
      </c>
      <c r="X258">
        <f>HYPERLINK("https://klasma.github.io/Logging_2181/tillsyn/A 15729-2022.docx", "A 15729-2022")</f>
        <v/>
      </c>
      <c r="Y258">
        <f>HYPERLINK("https://klasma.github.io/Logging_2181/tillsynsmail/A 15729-2022.docx", "A 15729-2022")</f>
        <v/>
      </c>
    </row>
    <row r="259" ht="15" customHeight="1">
      <c r="A259" t="inlineStr">
        <is>
          <t>A 16809-2022</t>
        </is>
      </c>
      <c r="B259" s="1" t="n">
        <v>44673</v>
      </c>
      <c r="C259" s="1" t="n">
        <v>45209</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16809-2022.xlsx", "A 16809-2022")</f>
        <v/>
      </c>
      <c r="T259">
        <f>HYPERLINK("https://klasma.github.io/Logging_2132/kartor/A 16809-2022.png", "A 16809-2022")</f>
        <v/>
      </c>
      <c r="V259">
        <f>HYPERLINK("https://klasma.github.io/Logging_2132/klagomål/A 16809-2022.docx", "A 16809-2022")</f>
        <v/>
      </c>
      <c r="W259">
        <f>HYPERLINK("https://klasma.github.io/Logging_2132/klagomålsmail/A 16809-2022.docx", "A 16809-2022")</f>
        <v/>
      </c>
      <c r="X259">
        <f>HYPERLINK("https://klasma.github.io/Logging_2132/tillsyn/A 16809-2022.docx", "A 16809-2022")</f>
        <v/>
      </c>
      <c r="Y259">
        <f>HYPERLINK("https://klasma.github.io/Logging_2132/tillsynsmail/A 16809-2022.docx", "A 16809-2022")</f>
        <v/>
      </c>
    </row>
    <row r="260" ht="15" customHeight="1">
      <c r="A260" t="inlineStr">
        <is>
          <t>A 18058-2022</t>
        </is>
      </c>
      <c r="B260" s="1" t="n">
        <v>44684</v>
      </c>
      <c r="C260" s="1" t="n">
        <v>45209</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18058-2022.xlsx", "A 18058-2022")</f>
        <v/>
      </c>
      <c r="T260">
        <f>HYPERLINK("https://klasma.github.io/Logging_2161/kartor/A 18058-2022.png", "A 18058-2022")</f>
        <v/>
      </c>
      <c r="V260">
        <f>HYPERLINK("https://klasma.github.io/Logging_2161/klagomål/A 18058-2022.docx", "A 18058-2022")</f>
        <v/>
      </c>
      <c r="W260">
        <f>HYPERLINK("https://klasma.github.io/Logging_2161/klagomålsmail/A 18058-2022.docx", "A 18058-2022")</f>
        <v/>
      </c>
      <c r="X260">
        <f>HYPERLINK("https://klasma.github.io/Logging_2161/tillsyn/A 18058-2022.docx", "A 18058-2022")</f>
        <v/>
      </c>
      <c r="Y260">
        <f>HYPERLINK("https://klasma.github.io/Logging_2161/tillsynsmail/A 18058-2022.docx", "A 18058-2022")</f>
        <v/>
      </c>
    </row>
    <row r="261" ht="15" customHeight="1">
      <c r="A261" t="inlineStr">
        <is>
          <t>A 20782-2022</t>
        </is>
      </c>
      <c r="B261" s="1" t="n">
        <v>44701</v>
      </c>
      <c r="C261" s="1" t="n">
        <v>45209</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20782-2022.xlsx", "A 20782-2022")</f>
        <v/>
      </c>
      <c r="T261">
        <f>HYPERLINK("https://klasma.github.io/Logging_2132/kartor/A 20782-2022.png", "A 20782-2022")</f>
        <v/>
      </c>
      <c r="U261">
        <f>HYPERLINK("https://klasma.github.io/Logging_2132/knärot/A 20782-2022.png", "A 20782-2022")</f>
        <v/>
      </c>
      <c r="V261">
        <f>HYPERLINK("https://klasma.github.io/Logging_2132/klagomål/A 20782-2022.docx", "A 20782-2022")</f>
        <v/>
      </c>
      <c r="W261">
        <f>HYPERLINK("https://klasma.github.io/Logging_2132/klagomålsmail/A 20782-2022.docx", "A 20782-2022")</f>
        <v/>
      </c>
      <c r="X261">
        <f>HYPERLINK("https://klasma.github.io/Logging_2132/tillsyn/A 20782-2022.docx", "A 20782-2022")</f>
        <v/>
      </c>
      <c r="Y261">
        <f>HYPERLINK("https://klasma.github.io/Logging_2132/tillsynsmail/A 20782-2022.docx", "A 20782-2022")</f>
        <v/>
      </c>
    </row>
    <row r="262" ht="15" customHeight="1">
      <c r="A262" t="inlineStr">
        <is>
          <t>A 23511-2022</t>
        </is>
      </c>
      <c r="B262" s="1" t="n">
        <v>44721</v>
      </c>
      <c r="C262" s="1" t="n">
        <v>45209</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23511-2022.xlsx", "A 23511-2022")</f>
        <v/>
      </c>
      <c r="T262">
        <f>HYPERLINK("https://klasma.github.io/Logging_2180/kartor/A 23511-2022.png", "A 23511-2022")</f>
        <v/>
      </c>
      <c r="V262">
        <f>HYPERLINK("https://klasma.github.io/Logging_2180/klagomål/A 23511-2022.docx", "A 23511-2022")</f>
        <v/>
      </c>
      <c r="W262">
        <f>HYPERLINK("https://klasma.github.io/Logging_2180/klagomålsmail/A 23511-2022.docx", "A 23511-2022")</f>
        <v/>
      </c>
      <c r="X262">
        <f>HYPERLINK("https://klasma.github.io/Logging_2180/tillsyn/A 23511-2022.docx", "A 23511-2022")</f>
        <v/>
      </c>
      <c r="Y262">
        <f>HYPERLINK("https://klasma.github.io/Logging_2180/tillsynsmail/A 23511-2022.docx", "A 23511-2022")</f>
        <v/>
      </c>
    </row>
    <row r="263" ht="15" customHeight="1">
      <c r="A263" t="inlineStr">
        <is>
          <t>A 24451-2022</t>
        </is>
      </c>
      <c r="B263" s="1" t="n">
        <v>44726</v>
      </c>
      <c r="C263" s="1" t="n">
        <v>45209</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24451-2022.xlsx", "A 24451-2022")</f>
        <v/>
      </c>
      <c r="T263">
        <f>HYPERLINK("https://klasma.github.io/Logging_2184/kartor/A 24451-2022.png", "A 24451-2022")</f>
        <v/>
      </c>
      <c r="V263">
        <f>HYPERLINK("https://klasma.github.io/Logging_2184/klagomål/A 24451-2022.docx", "A 24451-2022")</f>
        <v/>
      </c>
      <c r="W263">
        <f>HYPERLINK("https://klasma.github.io/Logging_2184/klagomålsmail/A 24451-2022.docx", "A 24451-2022")</f>
        <v/>
      </c>
      <c r="X263">
        <f>HYPERLINK("https://klasma.github.io/Logging_2184/tillsyn/A 24451-2022.docx", "A 24451-2022")</f>
        <v/>
      </c>
      <c r="Y263">
        <f>HYPERLINK("https://klasma.github.io/Logging_2184/tillsynsmail/A 24451-2022.docx", "A 24451-2022")</f>
        <v/>
      </c>
    </row>
    <row r="264" ht="15" customHeight="1">
      <c r="A264" t="inlineStr">
        <is>
          <t>A 24698-2022</t>
        </is>
      </c>
      <c r="B264" s="1" t="n">
        <v>44727</v>
      </c>
      <c r="C264" s="1" t="n">
        <v>45209</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24698-2022.xlsx", "A 24698-2022")</f>
        <v/>
      </c>
      <c r="T264">
        <f>HYPERLINK("https://klasma.github.io/Logging_2181/kartor/A 24698-2022.png", "A 24698-2022")</f>
        <v/>
      </c>
      <c r="V264">
        <f>HYPERLINK("https://klasma.github.io/Logging_2181/klagomål/A 24698-2022.docx", "A 24698-2022")</f>
        <v/>
      </c>
      <c r="W264">
        <f>HYPERLINK("https://klasma.github.io/Logging_2181/klagomålsmail/A 24698-2022.docx", "A 24698-2022")</f>
        <v/>
      </c>
      <c r="X264">
        <f>HYPERLINK("https://klasma.github.io/Logging_2181/tillsyn/A 24698-2022.docx", "A 24698-2022")</f>
        <v/>
      </c>
      <c r="Y264">
        <f>HYPERLINK("https://klasma.github.io/Logging_2181/tillsynsmail/A 24698-2022.docx", "A 24698-2022")</f>
        <v/>
      </c>
    </row>
    <row r="265" ht="15" customHeight="1">
      <c r="A265" t="inlineStr">
        <is>
          <t>A 25688-2022</t>
        </is>
      </c>
      <c r="B265" s="1" t="n">
        <v>44733</v>
      </c>
      <c r="C265" s="1" t="n">
        <v>45209</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25688-2022.xlsx", "A 25688-2022")</f>
        <v/>
      </c>
      <c r="T265">
        <f>HYPERLINK("https://klasma.github.io/Logging_2181/kartor/A 25688-2022.png", "A 25688-2022")</f>
        <v/>
      </c>
      <c r="V265">
        <f>HYPERLINK("https://klasma.github.io/Logging_2181/klagomål/A 25688-2022.docx", "A 25688-2022")</f>
        <v/>
      </c>
      <c r="W265">
        <f>HYPERLINK("https://klasma.github.io/Logging_2181/klagomålsmail/A 25688-2022.docx", "A 25688-2022")</f>
        <v/>
      </c>
      <c r="X265">
        <f>HYPERLINK("https://klasma.github.io/Logging_2181/tillsyn/A 25688-2022.docx", "A 25688-2022")</f>
        <v/>
      </c>
      <c r="Y265">
        <f>HYPERLINK("https://klasma.github.io/Logging_2181/tillsynsmail/A 25688-2022.docx", "A 25688-2022")</f>
        <v/>
      </c>
    </row>
    <row r="266" ht="15" customHeight="1">
      <c r="A266" t="inlineStr">
        <is>
          <t>A 27508-2022</t>
        </is>
      </c>
      <c r="B266" s="1" t="n">
        <v>44742</v>
      </c>
      <c r="C266" s="1" t="n">
        <v>45209</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27508-2022.xlsx", "A 27508-2022")</f>
        <v/>
      </c>
      <c r="T266">
        <f>HYPERLINK("https://klasma.github.io/Logging_2161/kartor/A 27508-2022.png", "A 27508-2022")</f>
        <v/>
      </c>
      <c r="V266">
        <f>HYPERLINK("https://klasma.github.io/Logging_2161/klagomål/A 27508-2022.docx", "A 27508-2022")</f>
        <v/>
      </c>
      <c r="W266">
        <f>HYPERLINK("https://klasma.github.io/Logging_2161/klagomålsmail/A 27508-2022.docx", "A 27508-2022")</f>
        <v/>
      </c>
      <c r="X266">
        <f>HYPERLINK("https://klasma.github.io/Logging_2161/tillsyn/A 27508-2022.docx", "A 27508-2022")</f>
        <v/>
      </c>
      <c r="Y266">
        <f>HYPERLINK("https://klasma.github.io/Logging_2161/tillsynsmail/A 27508-2022.docx", "A 27508-2022")</f>
        <v/>
      </c>
    </row>
    <row r="267" ht="15" customHeight="1">
      <c r="A267" t="inlineStr">
        <is>
          <t>A 27896-2022</t>
        </is>
      </c>
      <c r="B267" s="1" t="n">
        <v>44743</v>
      </c>
      <c r="C267" s="1" t="n">
        <v>45209</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27896-2022.xlsx", "A 27896-2022")</f>
        <v/>
      </c>
      <c r="T267">
        <f>HYPERLINK("https://klasma.github.io/Logging_2161/kartor/A 27896-2022.png", "A 27896-2022")</f>
        <v/>
      </c>
      <c r="V267">
        <f>HYPERLINK("https://klasma.github.io/Logging_2161/klagomål/A 27896-2022.docx", "A 27896-2022")</f>
        <v/>
      </c>
      <c r="W267">
        <f>HYPERLINK("https://klasma.github.io/Logging_2161/klagomålsmail/A 27896-2022.docx", "A 27896-2022")</f>
        <v/>
      </c>
      <c r="X267">
        <f>HYPERLINK("https://klasma.github.io/Logging_2161/tillsyn/A 27896-2022.docx", "A 27896-2022")</f>
        <v/>
      </c>
      <c r="Y267">
        <f>HYPERLINK("https://klasma.github.io/Logging_2161/tillsynsmail/A 27896-2022.docx", "A 27896-2022")</f>
        <v/>
      </c>
    </row>
    <row r="268" ht="15" customHeight="1">
      <c r="A268" t="inlineStr">
        <is>
          <t>A 30644-2022</t>
        </is>
      </c>
      <c r="B268" s="1" t="n">
        <v>44763</v>
      </c>
      <c r="C268" s="1" t="n">
        <v>45209</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30644-2022.xlsx", "A 30644-2022")</f>
        <v/>
      </c>
      <c r="T268">
        <f>HYPERLINK("https://klasma.github.io/Logging_2161/kartor/A 30644-2022.png", "A 30644-2022")</f>
        <v/>
      </c>
      <c r="V268">
        <f>HYPERLINK("https://klasma.github.io/Logging_2161/klagomål/A 30644-2022.docx", "A 30644-2022")</f>
        <v/>
      </c>
      <c r="W268">
        <f>HYPERLINK("https://klasma.github.io/Logging_2161/klagomålsmail/A 30644-2022.docx", "A 30644-2022")</f>
        <v/>
      </c>
      <c r="X268">
        <f>HYPERLINK("https://klasma.github.io/Logging_2161/tillsyn/A 30644-2022.docx", "A 30644-2022")</f>
        <v/>
      </c>
      <c r="Y268">
        <f>HYPERLINK("https://klasma.github.io/Logging_2161/tillsynsmail/A 30644-2022.docx", "A 30644-2022")</f>
        <v/>
      </c>
    </row>
    <row r="269" ht="15" customHeight="1">
      <c r="A269" t="inlineStr">
        <is>
          <t>A 30963-2022</t>
        </is>
      </c>
      <c r="B269" s="1" t="n">
        <v>44768</v>
      </c>
      <c r="C269" s="1" t="n">
        <v>45209</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30963-2022.xlsx", "A 30963-2022")</f>
        <v/>
      </c>
      <c r="T269">
        <f>HYPERLINK("https://klasma.github.io/Logging_2184/kartor/A 30963-2022.png", "A 30963-2022")</f>
        <v/>
      </c>
      <c r="V269">
        <f>HYPERLINK("https://klasma.github.io/Logging_2184/klagomål/A 30963-2022.docx", "A 30963-2022")</f>
        <v/>
      </c>
      <c r="W269">
        <f>HYPERLINK("https://klasma.github.io/Logging_2184/klagomålsmail/A 30963-2022.docx", "A 30963-2022")</f>
        <v/>
      </c>
      <c r="X269">
        <f>HYPERLINK("https://klasma.github.io/Logging_2184/tillsyn/A 30963-2022.docx", "A 30963-2022")</f>
        <v/>
      </c>
      <c r="Y269">
        <f>HYPERLINK("https://klasma.github.io/Logging_2184/tillsynsmail/A 30963-2022.docx", "A 30963-2022")</f>
        <v/>
      </c>
    </row>
    <row r="270" ht="15" customHeight="1">
      <c r="A270" t="inlineStr">
        <is>
          <t>A 32036-2022</t>
        </is>
      </c>
      <c r="B270" s="1" t="n">
        <v>44778</v>
      </c>
      <c r="C270" s="1" t="n">
        <v>45209</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32036-2022.xlsx", "A 32036-2022")</f>
        <v/>
      </c>
      <c r="T270">
        <f>HYPERLINK("https://klasma.github.io/Logging_2161/kartor/A 32036-2022.png", "A 32036-2022")</f>
        <v/>
      </c>
      <c r="V270">
        <f>HYPERLINK("https://klasma.github.io/Logging_2161/klagomål/A 32036-2022.docx", "A 32036-2022")</f>
        <v/>
      </c>
      <c r="W270">
        <f>HYPERLINK("https://klasma.github.io/Logging_2161/klagomålsmail/A 32036-2022.docx", "A 32036-2022")</f>
        <v/>
      </c>
      <c r="X270">
        <f>HYPERLINK("https://klasma.github.io/Logging_2161/tillsyn/A 32036-2022.docx", "A 32036-2022")</f>
        <v/>
      </c>
      <c r="Y270">
        <f>HYPERLINK("https://klasma.github.io/Logging_2161/tillsynsmail/A 32036-2022.docx", "A 32036-2022")</f>
        <v/>
      </c>
    </row>
    <row r="271" ht="15" customHeight="1">
      <c r="A271" t="inlineStr">
        <is>
          <t>A 32783-2022</t>
        </is>
      </c>
      <c r="B271" s="1" t="n">
        <v>44784</v>
      </c>
      <c r="C271" s="1" t="n">
        <v>45209</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32783-2022.xlsx", "A 32783-2022")</f>
        <v/>
      </c>
      <c r="T271">
        <f>HYPERLINK("https://klasma.github.io/Logging_2161/kartor/A 32783-2022.png", "A 32783-2022")</f>
        <v/>
      </c>
      <c r="V271">
        <f>HYPERLINK("https://klasma.github.io/Logging_2161/klagomål/A 32783-2022.docx", "A 32783-2022")</f>
        <v/>
      </c>
      <c r="W271">
        <f>HYPERLINK("https://klasma.github.io/Logging_2161/klagomålsmail/A 32783-2022.docx", "A 32783-2022")</f>
        <v/>
      </c>
      <c r="X271">
        <f>HYPERLINK("https://klasma.github.io/Logging_2161/tillsyn/A 32783-2022.docx", "A 32783-2022")</f>
        <v/>
      </c>
      <c r="Y271">
        <f>HYPERLINK("https://klasma.github.io/Logging_2161/tillsynsmail/A 32783-2022.docx", "A 32783-2022")</f>
        <v/>
      </c>
    </row>
    <row r="272" ht="15" customHeight="1">
      <c r="A272" t="inlineStr">
        <is>
          <t>A 33812-2022</t>
        </is>
      </c>
      <c r="B272" s="1" t="n">
        <v>44790</v>
      </c>
      <c r="C272" s="1" t="n">
        <v>45209</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33812-2022.xlsx", "A 33812-2022")</f>
        <v/>
      </c>
      <c r="T272">
        <f>HYPERLINK("https://klasma.github.io/Logging_2180/kartor/A 33812-2022.png", "A 33812-2022")</f>
        <v/>
      </c>
      <c r="V272">
        <f>HYPERLINK("https://klasma.github.io/Logging_2180/klagomål/A 33812-2022.docx", "A 33812-2022")</f>
        <v/>
      </c>
      <c r="W272">
        <f>HYPERLINK("https://klasma.github.io/Logging_2180/klagomålsmail/A 33812-2022.docx", "A 33812-2022")</f>
        <v/>
      </c>
      <c r="X272">
        <f>HYPERLINK("https://klasma.github.io/Logging_2180/tillsyn/A 33812-2022.docx", "A 33812-2022")</f>
        <v/>
      </c>
      <c r="Y272">
        <f>HYPERLINK("https://klasma.github.io/Logging_2180/tillsynsmail/A 33812-2022.docx", "A 33812-2022")</f>
        <v/>
      </c>
    </row>
    <row r="273" ht="15" customHeight="1">
      <c r="A273" t="inlineStr">
        <is>
          <t>A 34345-2022</t>
        </is>
      </c>
      <c r="B273" s="1" t="n">
        <v>44792</v>
      </c>
      <c r="C273" s="1" t="n">
        <v>45209</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34345-2022.xlsx", "A 34345-2022")</f>
        <v/>
      </c>
      <c r="T273">
        <f>HYPERLINK("https://klasma.github.io/Logging_2184/kartor/A 34345-2022.png", "A 34345-2022")</f>
        <v/>
      </c>
      <c r="V273">
        <f>HYPERLINK("https://klasma.github.io/Logging_2184/klagomål/A 34345-2022.docx", "A 34345-2022")</f>
        <v/>
      </c>
      <c r="W273">
        <f>HYPERLINK("https://klasma.github.io/Logging_2184/klagomålsmail/A 34345-2022.docx", "A 34345-2022")</f>
        <v/>
      </c>
      <c r="X273">
        <f>HYPERLINK("https://klasma.github.io/Logging_2184/tillsyn/A 34345-2022.docx", "A 34345-2022")</f>
        <v/>
      </c>
      <c r="Y273">
        <f>HYPERLINK("https://klasma.github.io/Logging_2184/tillsynsmail/A 34345-2022.docx", "A 34345-2022")</f>
        <v/>
      </c>
    </row>
    <row r="274" ht="15" customHeight="1">
      <c r="A274" t="inlineStr">
        <is>
          <t>A 37927-2022</t>
        </is>
      </c>
      <c r="B274" s="1" t="n">
        <v>44811</v>
      </c>
      <c r="C274" s="1" t="n">
        <v>45209</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37927-2022.xlsx", "A 37927-2022")</f>
        <v/>
      </c>
      <c r="T274">
        <f>HYPERLINK("https://klasma.github.io/Logging_2180/kartor/A 37927-2022.png", "A 37927-2022")</f>
        <v/>
      </c>
      <c r="U274">
        <f>HYPERLINK("https://klasma.github.io/Logging_2180/knärot/A 37927-2022.png", "A 37927-2022")</f>
        <v/>
      </c>
      <c r="V274">
        <f>HYPERLINK("https://klasma.github.io/Logging_2180/klagomål/A 37927-2022.docx", "A 37927-2022")</f>
        <v/>
      </c>
      <c r="W274">
        <f>HYPERLINK("https://klasma.github.io/Logging_2180/klagomålsmail/A 37927-2022.docx", "A 37927-2022")</f>
        <v/>
      </c>
      <c r="X274">
        <f>HYPERLINK("https://klasma.github.io/Logging_2180/tillsyn/A 37927-2022.docx", "A 37927-2022")</f>
        <v/>
      </c>
      <c r="Y274">
        <f>HYPERLINK("https://klasma.github.io/Logging_2180/tillsynsmail/A 37927-2022.docx", "A 37927-2022")</f>
        <v/>
      </c>
    </row>
    <row r="275" ht="15" customHeight="1">
      <c r="A275" t="inlineStr">
        <is>
          <t>A 38529-2022</t>
        </is>
      </c>
      <c r="B275" s="1" t="n">
        <v>44813</v>
      </c>
      <c r="C275" s="1" t="n">
        <v>45209</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38529-2022.xlsx", "A 38529-2022")</f>
        <v/>
      </c>
      <c r="T275">
        <f>HYPERLINK("https://klasma.github.io/Logging_2183/kartor/A 38529-2022.png", "A 38529-2022")</f>
        <v/>
      </c>
      <c r="V275">
        <f>HYPERLINK("https://klasma.github.io/Logging_2183/klagomål/A 38529-2022.docx", "A 38529-2022")</f>
        <v/>
      </c>
      <c r="W275">
        <f>HYPERLINK("https://klasma.github.io/Logging_2183/klagomålsmail/A 38529-2022.docx", "A 38529-2022")</f>
        <v/>
      </c>
      <c r="X275">
        <f>HYPERLINK("https://klasma.github.io/Logging_2183/tillsyn/A 38529-2022.docx", "A 38529-2022")</f>
        <v/>
      </c>
      <c r="Y275">
        <f>HYPERLINK("https://klasma.github.io/Logging_2183/tillsynsmail/A 38529-2022.docx", "A 38529-2022")</f>
        <v/>
      </c>
    </row>
    <row r="276" ht="15" customHeight="1">
      <c r="A276" t="inlineStr">
        <is>
          <t>A 41258-2022</t>
        </is>
      </c>
      <c r="B276" s="1" t="n">
        <v>44826</v>
      </c>
      <c r="C276" s="1" t="n">
        <v>45209</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41258-2022.xlsx", "A 41258-2022")</f>
        <v/>
      </c>
      <c r="T276">
        <f>HYPERLINK("https://klasma.github.io/Logging_2182/kartor/A 41258-2022.png", "A 41258-2022")</f>
        <v/>
      </c>
      <c r="V276">
        <f>HYPERLINK("https://klasma.github.io/Logging_2182/klagomål/A 41258-2022.docx", "A 41258-2022")</f>
        <v/>
      </c>
      <c r="W276">
        <f>HYPERLINK("https://klasma.github.io/Logging_2182/klagomålsmail/A 41258-2022.docx", "A 41258-2022")</f>
        <v/>
      </c>
      <c r="X276">
        <f>HYPERLINK("https://klasma.github.io/Logging_2182/tillsyn/A 41258-2022.docx", "A 41258-2022")</f>
        <v/>
      </c>
      <c r="Y276">
        <f>HYPERLINK("https://klasma.github.io/Logging_2182/tillsynsmail/A 41258-2022.docx", "A 41258-2022")</f>
        <v/>
      </c>
    </row>
    <row r="277" ht="15" customHeight="1">
      <c r="A277" t="inlineStr">
        <is>
          <t>A 41884-2022</t>
        </is>
      </c>
      <c r="B277" s="1" t="n">
        <v>44830</v>
      </c>
      <c r="C277" s="1" t="n">
        <v>45209</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41884-2022.xlsx", "A 41884-2022")</f>
        <v/>
      </c>
      <c r="T277">
        <f>HYPERLINK("https://klasma.github.io/Logging_2184/kartor/A 41884-2022.png", "A 41884-2022")</f>
        <v/>
      </c>
      <c r="V277">
        <f>HYPERLINK("https://klasma.github.io/Logging_2184/klagomål/A 41884-2022.docx", "A 41884-2022")</f>
        <v/>
      </c>
      <c r="W277">
        <f>HYPERLINK("https://klasma.github.io/Logging_2184/klagomålsmail/A 41884-2022.docx", "A 41884-2022")</f>
        <v/>
      </c>
      <c r="X277">
        <f>HYPERLINK("https://klasma.github.io/Logging_2184/tillsyn/A 41884-2022.docx", "A 41884-2022")</f>
        <v/>
      </c>
      <c r="Y277">
        <f>HYPERLINK("https://klasma.github.io/Logging_2184/tillsynsmail/A 41884-2022.docx", "A 41884-2022")</f>
        <v/>
      </c>
    </row>
    <row r="278" ht="15" customHeight="1">
      <c r="A278" t="inlineStr">
        <is>
          <t>A 42937-2022</t>
        </is>
      </c>
      <c r="B278" s="1" t="n">
        <v>44833</v>
      </c>
      <c r="C278" s="1" t="n">
        <v>45209</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42937-2022.xlsx", "A 42937-2022")</f>
        <v/>
      </c>
      <c r="T278">
        <f>HYPERLINK("https://klasma.github.io/Logging_2161/kartor/A 42937-2022.png", "A 42937-2022")</f>
        <v/>
      </c>
      <c r="V278">
        <f>HYPERLINK("https://klasma.github.io/Logging_2161/klagomål/A 42937-2022.docx", "A 42937-2022")</f>
        <v/>
      </c>
      <c r="W278">
        <f>HYPERLINK("https://klasma.github.io/Logging_2161/klagomålsmail/A 42937-2022.docx", "A 42937-2022")</f>
        <v/>
      </c>
      <c r="X278">
        <f>HYPERLINK("https://klasma.github.io/Logging_2161/tillsyn/A 42937-2022.docx", "A 42937-2022")</f>
        <v/>
      </c>
      <c r="Y278">
        <f>HYPERLINK("https://klasma.github.io/Logging_2161/tillsynsmail/A 42937-2022.docx", "A 42937-2022")</f>
        <v/>
      </c>
    </row>
    <row r="279" ht="15" customHeight="1">
      <c r="A279" t="inlineStr">
        <is>
          <t>A 45241-2022</t>
        </is>
      </c>
      <c r="B279" s="1" t="n">
        <v>44840</v>
      </c>
      <c r="C279" s="1" t="n">
        <v>45209</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45241-2022.xlsx", "A 45241-2022")</f>
        <v/>
      </c>
      <c r="T279">
        <f>HYPERLINK("https://klasma.github.io/Logging_2180/kartor/A 45241-2022.png", "A 45241-2022")</f>
        <v/>
      </c>
      <c r="V279">
        <f>HYPERLINK("https://klasma.github.io/Logging_2180/klagomål/A 45241-2022.docx", "A 45241-2022")</f>
        <v/>
      </c>
      <c r="W279">
        <f>HYPERLINK("https://klasma.github.io/Logging_2180/klagomålsmail/A 45241-2022.docx", "A 45241-2022")</f>
        <v/>
      </c>
      <c r="X279">
        <f>HYPERLINK("https://klasma.github.io/Logging_2180/tillsyn/A 45241-2022.docx", "A 45241-2022")</f>
        <v/>
      </c>
      <c r="Y279">
        <f>HYPERLINK("https://klasma.github.io/Logging_2180/tillsynsmail/A 45241-2022.docx", "A 45241-2022")</f>
        <v/>
      </c>
    </row>
    <row r="280" ht="15" customHeight="1">
      <c r="A280" t="inlineStr">
        <is>
          <t>A 45007-2022</t>
        </is>
      </c>
      <c r="B280" s="1" t="n">
        <v>44841</v>
      </c>
      <c r="C280" s="1" t="n">
        <v>45209</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45007-2022.xlsx", "A 45007-2022")</f>
        <v/>
      </c>
      <c r="T280">
        <f>HYPERLINK("https://klasma.github.io/Logging_2121/kartor/A 45007-2022.png", "A 45007-2022")</f>
        <v/>
      </c>
      <c r="V280">
        <f>HYPERLINK("https://klasma.github.io/Logging_2121/klagomål/A 45007-2022.docx", "A 45007-2022")</f>
        <v/>
      </c>
      <c r="W280">
        <f>HYPERLINK("https://klasma.github.io/Logging_2121/klagomålsmail/A 45007-2022.docx", "A 45007-2022")</f>
        <v/>
      </c>
      <c r="X280">
        <f>HYPERLINK("https://klasma.github.io/Logging_2121/tillsyn/A 45007-2022.docx", "A 45007-2022")</f>
        <v/>
      </c>
      <c r="Y280">
        <f>HYPERLINK("https://klasma.github.io/Logging_2121/tillsynsmail/A 45007-2022.docx", "A 45007-2022")</f>
        <v/>
      </c>
    </row>
    <row r="281" ht="15" customHeight="1">
      <c r="A281" t="inlineStr">
        <is>
          <t>A 53259-2022</t>
        </is>
      </c>
      <c r="B281" s="1" t="n">
        <v>44876</v>
      </c>
      <c r="C281" s="1" t="n">
        <v>45209</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53259-2022.xlsx", "A 53259-2022")</f>
        <v/>
      </c>
      <c r="T281">
        <f>HYPERLINK("https://klasma.github.io/Logging_2181/kartor/A 53259-2022.png", "A 53259-2022")</f>
        <v/>
      </c>
      <c r="U281">
        <f>HYPERLINK("https://klasma.github.io/Logging_2181/knärot/A 53259-2022.png", "A 53259-2022")</f>
        <v/>
      </c>
      <c r="V281">
        <f>HYPERLINK("https://klasma.github.io/Logging_2181/klagomål/A 53259-2022.docx", "A 53259-2022")</f>
        <v/>
      </c>
      <c r="W281">
        <f>HYPERLINK("https://klasma.github.io/Logging_2181/klagomålsmail/A 53259-2022.docx", "A 53259-2022")</f>
        <v/>
      </c>
      <c r="X281">
        <f>HYPERLINK("https://klasma.github.io/Logging_2181/tillsyn/A 53259-2022.docx", "A 53259-2022")</f>
        <v/>
      </c>
      <c r="Y281">
        <f>HYPERLINK("https://klasma.github.io/Logging_2181/tillsynsmail/A 53259-2022.docx", "A 53259-2022")</f>
        <v/>
      </c>
    </row>
    <row r="282" ht="15" customHeight="1">
      <c r="A282" t="inlineStr">
        <is>
          <t>A 62767-2022</t>
        </is>
      </c>
      <c r="B282" s="1" t="n">
        <v>44884</v>
      </c>
      <c r="C282" s="1" t="n">
        <v>45209</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62767-2022.xlsx", "A 62767-2022")</f>
        <v/>
      </c>
      <c r="T282">
        <f>HYPERLINK("https://klasma.github.io/Logging_2132/kartor/A 62767-2022.png", "A 62767-2022")</f>
        <v/>
      </c>
      <c r="V282">
        <f>HYPERLINK("https://klasma.github.io/Logging_2132/klagomål/A 62767-2022.docx", "A 62767-2022")</f>
        <v/>
      </c>
      <c r="W282">
        <f>HYPERLINK("https://klasma.github.io/Logging_2132/klagomålsmail/A 62767-2022.docx", "A 62767-2022")</f>
        <v/>
      </c>
      <c r="X282">
        <f>HYPERLINK("https://klasma.github.io/Logging_2132/tillsyn/A 62767-2022.docx", "A 62767-2022")</f>
        <v/>
      </c>
      <c r="Y282">
        <f>HYPERLINK("https://klasma.github.io/Logging_2132/tillsynsmail/A 62767-2022.docx", "A 62767-2022")</f>
        <v/>
      </c>
    </row>
    <row r="283" ht="15" customHeight="1">
      <c r="A283" t="inlineStr">
        <is>
          <t>A 55242-2022</t>
        </is>
      </c>
      <c r="B283" s="1" t="n">
        <v>44886</v>
      </c>
      <c r="C283" s="1" t="n">
        <v>45209</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55242-2022.xlsx", "A 55242-2022")</f>
        <v/>
      </c>
      <c r="T283">
        <f>HYPERLINK("https://klasma.github.io/Logging_2132/kartor/A 55242-2022.png", "A 55242-2022")</f>
        <v/>
      </c>
      <c r="V283">
        <f>HYPERLINK("https://klasma.github.io/Logging_2132/klagomål/A 55242-2022.docx", "A 55242-2022")</f>
        <v/>
      </c>
      <c r="W283">
        <f>HYPERLINK("https://klasma.github.io/Logging_2132/klagomålsmail/A 55242-2022.docx", "A 55242-2022")</f>
        <v/>
      </c>
      <c r="X283">
        <f>HYPERLINK("https://klasma.github.io/Logging_2132/tillsyn/A 55242-2022.docx", "A 55242-2022")</f>
        <v/>
      </c>
      <c r="Y283">
        <f>HYPERLINK("https://klasma.github.io/Logging_2132/tillsynsmail/A 55242-2022.docx", "A 55242-2022")</f>
        <v/>
      </c>
    </row>
    <row r="284" ht="15" customHeight="1">
      <c r="A284" t="inlineStr">
        <is>
          <t>A 58333-2022</t>
        </is>
      </c>
      <c r="B284" s="1" t="n">
        <v>44901</v>
      </c>
      <c r="C284" s="1" t="n">
        <v>45209</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58333-2022.xlsx", "A 58333-2022")</f>
        <v/>
      </c>
      <c r="T284">
        <f>HYPERLINK("https://klasma.github.io/Logging_2183/kartor/A 58333-2022.png", "A 58333-2022")</f>
        <v/>
      </c>
      <c r="V284">
        <f>HYPERLINK("https://klasma.github.io/Logging_2183/klagomål/A 58333-2022.docx", "A 58333-2022")</f>
        <v/>
      </c>
      <c r="W284">
        <f>HYPERLINK("https://klasma.github.io/Logging_2183/klagomålsmail/A 58333-2022.docx", "A 58333-2022")</f>
        <v/>
      </c>
      <c r="X284">
        <f>HYPERLINK("https://klasma.github.io/Logging_2183/tillsyn/A 58333-2022.docx", "A 58333-2022")</f>
        <v/>
      </c>
      <c r="Y284">
        <f>HYPERLINK("https://klasma.github.io/Logging_2183/tillsynsmail/A 58333-2022.docx", "A 58333-2022")</f>
        <v/>
      </c>
    </row>
    <row r="285" ht="15" customHeight="1">
      <c r="A285" t="inlineStr">
        <is>
          <t>A 58774-2022</t>
        </is>
      </c>
      <c r="B285" s="1" t="n">
        <v>44903</v>
      </c>
      <c r="C285" s="1" t="n">
        <v>45209</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58774-2022.xlsx", "A 58774-2022")</f>
        <v/>
      </c>
      <c r="T285">
        <f>HYPERLINK("https://klasma.github.io/Logging_2181/kartor/A 58774-2022.png", "A 58774-2022")</f>
        <v/>
      </c>
      <c r="V285">
        <f>HYPERLINK("https://klasma.github.io/Logging_2181/klagomål/A 58774-2022.docx", "A 58774-2022")</f>
        <v/>
      </c>
      <c r="W285">
        <f>HYPERLINK("https://klasma.github.io/Logging_2181/klagomålsmail/A 58774-2022.docx", "A 58774-2022")</f>
        <v/>
      </c>
      <c r="X285">
        <f>HYPERLINK("https://klasma.github.io/Logging_2181/tillsyn/A 58774-2022.docx", "A 58774-2022")</f>
        <v/>
      </c>
      <c r="Y285">
        <f>HYPERLINK("https://klasma.github.io/Logging_2181/tillsynsmail/A 58774-2022.docx", "A 58774-2022")</f>
        <v/>
      </c>
    </row>
    <row r="286" ht="15" customHeight="1">
      <c r="A286" t="inlineStr">
        <is>
          <t>A 3755-2023</t>
        </is>
      </c>
      <c r="B286" s="1" t="n">
        <v>44951</v>
      </c>
      <c r="C286" s="1" t="n">
        <v>45209</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3755-2023.xlsx", "A 3755-2023")</f>
        <v/>
      </c>
      <c r="T286">
        <f>HYPERLINK("https://klasma.github.io/Logging_2132/kartor/A 3755-2023.png", "A 3755-2023")</f>
        <v/>
      </c>
      <c r="V286">
        <f>HYPERLINK("https://klasma.github.io/Logging_2132/klagomål/A 3755-2023.docx", "A 3755-2023")</f>
        <v/>
      </c>
      <c r="W286">
        <f>HYPERLINK("https://klasma.github.io/Logging_2132/klagomålsmail/A 3755-2023.docx", "A 3755-2023")</f>
        <v/>
      </c>
      <c r="X286">
        <f>HYPERLINK("https://klasma.github.io/Logging_2132/tillsyn/A 3755-2023.docx", "A 3755-2023")</f>
        <v/>
      </c>
      <c r="Y286">
        <f>HYPERLINK("https://klasma.github.io/Logging_2132/tillsynsmail/A 3755-2023.docx", "A 3755-2023")</f>
        <v/>
      </c>
    </row>
    <row r="287" ht="15" customHeight="1">
      <c r="A287" t="inlineStr">
        <is>
          <t>A 4827-2023</t>
        </is>
      </c>
      <c r="B287" s="1" t="n">
        <v>44957</v>
      </c>
      <c r="C287" s="1" t="n">
        <v>45209</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4827-2023.xlsx", "A 4827-2023")</f>
        <v/>
      </c>
      <c r="T287">
        <f>HYPERLINK("https://klasma.github.io/Logging_2121/kartor/A 4827-2023.png", "A 4827-2023")</f>
        <v/>
      </c>
      <c r="V287">
        <f>HYPERLINK("https://klasma.github.io/Logging_2121/klagomål/A 4827-2023.docx", "A 4827-2023")</f>
        <v/>
      </c>
      <c r="W287">
        <f>HYPERLINK("https://klasma.github.io/Logging_2121/klagomålsmail/A 4827-2023.docx", "A 4827-2023")</f>
        <v/>
      </c>
      <c r="X287">
        <f>HYPERLINK("https://klasma.github.io/Logging_2121/tillsyn/A 4827-2023.docx", "A 4827-2023")</f>
        <v/>
      </c>
      <c r="Y287">
        <f>HYPERLINK("https://klasma.github.io/Logging_2121/tillsynsmail/A 4827-2023.docx", "A 4827-2023")</f>
        <v/>
      </c>
    </row>
    <row r="288" ht="15" customHeight="1">
      <c r="A288" t="inlineStr">
        <is>
          <t>A 5015-2023</t>
        </is>
      </c>
      <c r="B288" s="1" t="n">
        <v>44958</v>
      </c>
      <c r="C288" s="1" t="n">
        <v>45209</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5015-2023.xlsx", "A 5015-2023")</f>
        <v/>
      </c>
      <c r="T288">
        <f>HYPERLINK("https://klasma.github.io/Logging_2181/kartor/A 5015-2023.png", "A 5015-2023")</f>
        <v/>
      </c>
      <c r="V288">
        <f>HYPERLINK("https://klasma.github.io/Logging_2181/klagomål/A 5015-2023.docx", "A 5015-2023")</f>
        <v/>
      </c>
      <c r="W288">
        <f>HYPERLINK("https://klasma.github.io/Logging_2181/klagomålsmail/A 5015-2023.docx", "A 5015-2023")</f>
        <v/>
      </c>
      <c r="X288">
        <f>HYPERLINK("https://klasma.github.io/Logging_2181/tillsyn/A 5015-2023.docx", "A 5015-2023")</f>
        <v/>
      </c>
      <c r="Y288">
        <f>HYPERLINK("https://klasma.github.io/Logging_2181/tillsynsmail/A 5015-2023.docx", "A 5015-2023")</f>
        <v/>
      </c>
    </row>
    <row r="289" ht="15" customHeight="1">
      <c r="A289" t="inlineStr">
        <is>
          <t>A 6378-2023</t>
        </is>
      </c>
      <c r="B289" s="1" t="n">
        <v>44965</v>
      </c>
      <c r="C289" s="1" t="n">
        <v>45209</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6378-2023.xlsx", "A 6378-2023")</f>
        <v/>
      </c>
      <c r="T289">
        <f>HYPERLINK("https://klasma.github.io/Logging_2181/kartor/A 6378-2023.png", "A 6378-2023")</f>
        <v/>
      </c>
      <c r="V289">
        <f>HYPERLINK("https://klasma.github.io/Logging_2181/klagomål/A 6378-2023.docx", "A 6378-2023")</f>
        <v/>
      </c>
      <c r="W289">
        <f>HYPERLINK("https://klasma.github.io/Logging_2181/klagomålsmail/A 6378-2023.docx", "A 6378-2023")</f>
        <v/>
      </c>
      <c r="X289">
        <f>HYPERLINK("https://klasma.github.io/Logging_2181/tillsyn/A 6378-2023.docx", "A 6378-2023")</f>
        <v/>
      </c>
      <c r="Y289">
        <f>HYPERLINK("https://klasma.github.io/Logging_2181/tillsynsmail/A 6378-2023.docx", "A 6378-2023")</f>
        <v/>
      </c>
    </row>
    <row r="290" ht="15" customHeight="1">
      <c r="A290" t="inlineStr">
        <is>
          <t>A 8636-2023</t>
        </is>
      </c>
      <c r="B290" s="1" t="n">
        <v>44977</v>
      </c>
      <c r="C290" s="1" t="n">
        <v>45209</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8636-2023.xlsx", "A 8636-2023")</f>
        <v/>
      </c>
      <c r="T290">
        <f>HYPERLINK("https://klasma.github.io/Logging_2184/kartor/A 8636-2023.png", "A 8636-2023")</f>
        <v/>
      </c>
      <c r="V290">
        <f>HYPERLINK("https://klasma.github.io/Logging_2184/klagomål/A 8636-2023.docx", "A 8636-2023")</f>
        <v/>
      </c>
      <c r="W290">
        <f>HYPERLINK("https://klasma.github.io/Logging_2184/klagomålsmail/A 8636-2023.docx", "A 8636-2023")</f>
        <v/>
      </c>
      <c r="X290">
        <f>HYPERLINK("https://klasma.github.io/Logging_2184/tillsyn/A 8636-2023.docx", "A 8636-2023")</f>
        <v/>
      </c>
      <c r="Y290">
        <f>HYPERLINK("https://klasma.github.io/Logging_2184/tillsynsmail/A 8636-2023.docx", "A 8636-2023")</f>
        <v/>
      </c>
    </row>
    <row r="291" ht="15" customHeight="1">
      <c r="A291" t="inlineStr">
        <is>
          <t>A 8622-2023</t>
        </is>
      </c>
      <c r="B291" s="1" t="n">
        <v>44977</v>
      </c>
      <c r="C291" s="1" t="n">
        <v>45209</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8622-2023.xlsx", "A 8622-2023")</f>
        <v/>
      </c>
      <c r="T291">
        <f>HYPERLINK("https://klasma.github.io/Logging_2180/kartor/A 8622-2023.png", "A 8622-2023")</f>
        <v/>
      </c>
      <c r="U291">
        <f>HYPERLINK("https://klasma.github.io/Logging_2180/knärot/A 8622-2023.png", "A 8622-2023")</f>
        <v/>
      </c>
      <c r="V291">
        <f>HYPERLINK("https://klasma.github.io/Logging_2180/klagomål/A 8622-2023.docx", "A 8622-2023")</f>
        <v/>
      </c>
      <c r="W291">
        <f>HYPERLINK("https://klasma.github.io/Logging_2180/klagomålsmail/A 8622-2023.docx", "A 8622-2023")</f>
        <v/>
      </c>
      <c r="X291">
        <f>HYPERLINK("https://klasma.github.io/Logging_2180/tillsyn/A 8622-2023.docx", "A 8622-2023")</f>
        <v/>
      </c>
      <c r="Y291">
        <f>HYPERLINK("https://klasma.github.io/Logging_2180/tillsynsmail/A 8622-2023.docx", "A 8622-2023")</f>
        <v/>
      </c>
    </row>
    <row r="292" ht="15" customHeight="1">
      <c r="A292" t="inlineStr">
        <is>
          <t>A 10646-2023</t>
        </is>
      </c>
      <c r="B292" s="1" t="n">
        <v>44988</v>
      </c>
      <c r="C292" s="1" t="n">
        <v>45209</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10646-2023.xlsx", "A 10646-2023")</f>
        <v/>
      </c>
      <c r="T292">
        <f>HYPERLINK("https://klasma.github.io/Logging_2161/kartor/A 10646-2023.png", "A 10646-2023")</f>
        <v/>
      </c>
      <c r="V292">
        <f>HYPERLINK("https://klasma.github.io/Logging_2161/klagomål/A 10646-2023.docx", "A 10646-2023")</f>
        <v/>
      </c>
      <c r="W292">
        <f>HYPERLINK("https://klasma.github.io/Logging_2161/klagomålsmail/A 10646-2023.docx", "A 10646-2023")</f>
        <v/>
      </c>
      <c r="X292">
        <f>HYPERLINK("https://klasma.github.io/Logging_2161/tillsyn/A 10646-2023.docx", "A 10646-2023")</f>
        <v/>
      </c>
      <c r="Y292">
        <f>HYPERLINK("https://klasma.github.io/Logging_2161/tillsynsmail/A 10646-2023.docx", "A 10646-2023")</f>
        <v/>
      </c>
    </row>
    <row r="293" ht="15" customHeight="1">
      <c r="A293" t="inlineStr">
        <is>
          <t>A 13741-2023</t>
        </is>
      </c>
      <c r="B293" s="1" t="n">
        <v>45007</v>
      </c>
      <c r="C293" s="1" t="n">
        <v>45209</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13741-2023.xlsx", "A 13741-2023")</f>
        <v/>
      </c>
      <c r="T293">
        <f>HYPERLINK("https://klasma.github.io/Logging_2104/kartor/A 13741-2023.png", "A 13741-2023")</f>
        <v/>
      </c>
      <c r="V293">
        <f>HYPERLINK("https://klasma.github.io/Logging_2104/klagomål/A 13741-2023.docx", "A 13741-2023")</f>
        <v/>
      </c>
      <c r="W293">
        <f>HYPERLINK("https://klasma.github.io/Logging_2104/klagomålsmail/A 13741-2023.docx", "A 13741-2023")</f>
        <v/>
      </c>
      <c r="X293">
        <f>HYPERLINK("https://klasma.github.io/Logging_2104/tillsyn/A 13741-2023.docx", "A 13741-2023")</f>
        <v/>
      </c>
      <c r="Y293">
        <f>HYPERLINK("https://klasma.github.io/Logging_2104/tillsynsmail/A 13741-2023.docx", "A 13741-2023")</f>
        <v/>
      </c>
    </row>
    <row r="294" ht="15" customHeight="1">
      <c r="A294" t="inlineStr">
        <is>
          <t>A 14358-2023</t>
        </is>
      </c>
      <c r="B294" s="1" t="n">
        <v>45012</v>
      </c>
      <c r="C294" s="1" t="n">
        <v>45209</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14358-2023.xlsx", "A 14358-2023")</f>
        <v/>
      </c>
      <c r="T294">
        <f>HYPERLINK("https://klasma.github.io/Logging_2104/kartor/A 14358-2023.png", "A 14358-2023")</f>
        <v/>
      </c>
      <c r="V294">
        <f>HYPERLINK("https://klasma.github.io/Logging_2104/klagomål/A 14358-2023.docx", "A 14358-2023")</f>
        <v/>
      </c>
      <c r="W294">
        <f>HYPERLINK("https://klasma.github.io/Logging_2104/klagomålsmail/A 14358-2023.docx", "A 14358-2023")</f>
        <v/>
      </c>
      <c r="X294">
        <f>HYPERLINK("https://klasma.github.io/Logging_2104/tillsyn/A 14358-2023.docx", "A 14358-2023")</f>
        <v/>
      </c>
      <c r="Y294">
        <f>HYPERLINK("https://klasma.github.io/Logging_2104/tillsynsmail/A 14358-2023.docx", "A 14358-2023")</f>
        <v/>
      </c>
    </row>
    <row r="295" ht="15" customHeight="1">
      <c r="A295" t="inlineStr">
        <is>
          <t>A 14449-2023</t>
        </is>
      </c>
      <c r="B295" s="1" t="n">
        <v>45012</v>
      </c>
      <c r="C295" s="1" t="n">
        <v>45209</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14449-2023.xlsx", "A 14449-2023")</f>
        <v/>
      </c>
      <c r="T295">
        <f>HYPERLINK("https://klasma.github.io/Logging_2184/kartor/A 14449-2023.png", "A 14449-2023")</f>
        <v/>
      </c>
      <c r="U295">
        <f>HYPERLINK("https://klasma.github.io/Logging_2184/knärot/A 14449-2023.png", "A 14449-2023")</f>
        <v/>
      </c>
      <c r="V295">
        <f>HYPERLINK("https://klasma.github.io/Logging_2184/klagomål/A 14449-2023.docx", "A 14449-2023")</f>
        <v/>
      </c>
      <c r="W295">
        <f>HYPERLINK("https://klasma.github.io/Logging_2184/klagomålsmail/A 14449-2023.docx", "A 14449-2023")</f>
        <v/>
      </c>
      <c r="X295">
        <f>HYPERLINK("https://klasma.github.io/Logging_2184/tillsyn/A 14449-2023.docx", "A 14449-2023")</f>
        <v/>
      </c>
      <c r="Y295">
        <f>HYPERLINK("https://klasma.github.io/Logging_2184/tillsynsmail/A 14449-2023.docx", "A 14449-2023")</f>
        <v/>
      </c>
    </row>
    <row r="296" ht="15" customHeight="1">
      <c r="A296" t="inlineStr">
        <is>
          <t>A 20232-2023</t>
        </is>
      </c>
      <c r="B296" s="1" t="n">
        <v>45055</v>
      </c>
      <c r="C296" s="1" t="n">
        <v>45209</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20232-2023.xlsx", "A 20232-2023")</f>
        <v/>
      </c>
      <c r="T296">
        <f>HYPERLINK("https://klasma.github.io/Logging_2180/kartor/A 20232-2023.png", "A 20232-2023")</f>
        <v/>
      </c>
      <c r="V296">
        <f>HYPERLINK("https://klasma.github.io/Logging_2180/klagomål/A 20232-2023.docx", "A 20232-2023")</f>
        <v/>
      </c>
      <c r="W296">
        <f>HYPERLINK("https://klasma.github.io/Logging_2180/klagomålsmail/A 20232-2023.docx", "A 20232-2023")</f>
        <v/>
      </c>
      <c r="X296">
        <f>HYPERLINK("https://klasma.github.io/Logging_2180/tillsyn/A 20232-2023.docx", "A 20232-2023")</f>
        <v/>
      </c>
      <c r="Y296">
        <f>HYPERLINK("https://klasma.github.io/Logging_2180/tillsynsmail/A 20232-2023.docx", "A 20232-2023")</f>
        <v/>
      </c>
    </row>
    <row r="297" ht="15" customHeight="1">
      <c r="A297" t="inlineStr">
        <is>
          <t>A 20710-2023</t>
        </is>
      </c>
      <c r="B297" s="1" t="n">
        <v>45058</v>
      </c>
      <c r="C297" s="1" t="n">
        <v>45209</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20710-2023.xlsx", "A 20710-2023")</f>
        <v/>
      </c>
      <c r="T297">
        <f>HYPERLINK("https://klasma.github.io/Logging_2183/kartor/A 20710-2023.png", "A 20710-2023")</f>
        <v/>
      </c>
      <c r="U297">
        <f>HYPERLINK("https://klasma.github.io/Logging_2183/knärot/A 20710-2023.png", "A 20710-2023")</f>
        <v/>
      </c>
      <c r="V297">
        <f>HYPERLINK("https://klasma.github.io/Logging_2183/klagomål/A 20710-2023.docx", "A 20710-2023")</f>
        <v/>
      </c>
      <c r="W297">
        <f>HYPERLINK("https://klasma.github.io/Logging_2183/klagomålsmail/A 20710-2023.docx", "A 20710-2023")</f>
        <v/>
      </c>
      <c r="X297">
        <f>HYPERLINK("https://klasma.github.io/Logging_2183/tillsyn/A 20710-2023.docx", "A 20710-2023")</f>
        <v/>
      </c>
      <c r="Y297">
        <f>HYPERLINK("https://klasma.github.io/Logging_2183/tillsynsmail/A 20710-2023.docx", "A 20710-2023")</f>
        <v/>
      </c>
    </row>
    <row r="298" ht="15" customHeight="1">
      <c r="A298" t="inlineStr">
        <is>
          <t>A 21029-2023</t>
        </is>
      </c>
      <c r="B298" s="1" t="n">
        <v>45061</v>
      </c>
      <c r="C298" s="1" t="n">
        <v>45209</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21029-2023.xlsx", "A 21029-2023")</f>
        <v/>
      </c>
      <c r="T298">
        <f>HYPERLINK("https://klasma.github.io/Logging_2181/kartor/A 21029-2023.png", "A 21029-2023")</f>
        <v/>
      </c>
      <c r="V298">
        <f>HYPERLINK("https://klasma.github.io/Logging_2181/klagomål/A 21029-2023.docx", "A 21029-2023")</f>
        <v/>
      </c>
      <c r="W298">
        <f>HYPERLINK("https://klasma.github.io/Logging_2181/klagomålsmail/A 21029-2023.docx", "A 21029-2023")</f>
        <v/>
      </c>
      <c r="X298">
        <f>HYPERLINK("https://klasma.github.io/Logging_2181/tillsyn/A 21029-2023.docx", "A 21029-2023")</f>
        <v/>
      </c>
      <c r="Y298">
        <f>HYPERLINK("https://klasma.github.io/Logging_2181/tillsynsmail/A 21029-2023.docx", "A 21029-2023")</f>
        <v/>
      </c>
    </row>
    <row r="299" ht="15" customHeight="1">
      <c r="A299" t="inlineStr">
        <is>
          <t>A 22513-2023</t>
        </is>
      </c>
      <c r="B299" s="1" t="n">
        <v>45071</v>
      </c>
      <c r="C299" s="1" t="n">
        <v>45209</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22513-2023.xlsx", "A 22513-2023")</f>
        <v/>
      </c>
      <c r="T299">
        <f>HYPERLINK("https://klasma.github.io/Logging_2181/kartor/A 22513-2023.png", "A 22513-2023")</f>
        <v/>
      </c>
      <c r="V299">
        <f>HYPERLINK("https://klasma.github.io/Logging_2181/klagomål/A 22513-2023.docx", "A 22513-2023")</f>
        <v/>
      </c>
      <c r="W299">
        <f>HYPERLINK("https://klasma.github.io/Logging_2181/klagomålsmail/A 22513-2023.docx", "A 22513-2023")</f>
        <v/>
      </c>
      <c r="X299">
        <f>HYPERLINK("https://klasma.github.io/Logging_2181/tillsyn/A 22513-2023.docx", "A 22513-2023")</f>
        <v/>
      </c>
      <c r="Y299">
        <f>HYPERLINK("https://klasma.github.io/Logging_2181/tillsynsmail/A 22513-2023.docx", "A 22513-2023")</f>
        <v/>
      </c>
    </row>
    <row r="300" ht="15" customHeight="1">
      <c r="A300" t="inlineStr">
        <is>
          <t>A 23161-2023</t>
        </is>
      </c>
      <c r="B300" s="1" t="n">
        <v>45075</v>
      </c>
      <c r="C300" s="1" t="n">
        <v>45209</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23161-2023.xlsx", "A 23161-2023")</f>
        <v/>
      </c>
      <c r="T300">
        <f>HYPERLINK("https://klasma.github.io/Logging_2181/kartor/A 23161-2023.png", "A 23161-2023")</f>
        <v/>
      </c>
      <c r="V300">
        <f>HYPERLINK("https://klasma.github.io/Logging_2181/klagomål/A 23161-2023.docx", "A 23161-2023")</f>
        <v/>
      </c>
      <c r="W300">
        <f>HYPERLINK("https://klasma.github.io/Logging_2181/klagomålsmail/A 23161-2023.docx", "A 23161-2023")</f>
        <v/>
      </c>
      <c r="X300">
        <f>HYPERLINK("https://klasma.github.io/Logging_2181/tillsyn/A 23161-2023.docx", "A 23161-2023")</f>
        <v/>
      </c>
      <c r="Y300">
        <f>HYPERLINK("https://klasma.github.io/Logging_2181/tillsynsmail/A 23161-2023.docx", "A 23161-2023")</f>
        <v/>
      </c>
    </row>
    <row r="301" ht="15" customHeight="1">
      <c r="A301" t="inlineStr">
        <is>
          <t>A 23504-2023</t>
        </is>
      </c>
      <c r="B301" s="1" t="n">
        <v>45076</v>
      </c>
      <c r="C301" s="1" t="n">
        <v>45209</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23504-2023.xlsx", "A 23504-2023")</f>
        <v/>
      </c>
      <c r="T301">
        <f>HYPERLINK("https://klasma.github.io/Logging_2183/kartor/A 23504-2023.png", "A 23504-2023")</f>
        <v/>
      </c>
      <c r="V301">
        <f>HYPERLINK("https://klasma.github.io/Logging_2183/klagomål/A 23504-2023.docx", "A 23504-2023")</f>
        <v/>
      </c>
      <c r="W301">
        <f>HYPERLINK("https://klasma.github.io/Logging_2183/klagomålsmail/A 23504-2023.docx", "A 23504-2023")</f>
        <v/>
      </c>
      <c r="X301">
        <f>HYPERLINK("https://klasma.github.io/Logging_2183/tillsyn/A 23504-2023.docx", "A 23504-2023")</f>
        <v/>
      </c>
      <c r="Y301">
        <f>HYPERLINK("https://klasma.github.io/Logging_2183/tillsynsmail/A 23504-2023.docx", "A 23504-2023")</f>
        <v/>
      </c>
    </row>
    <row r="302" ht="15" customHeight="1">
      <c r="A302" t="inlineStr">
        <is>
          <t>A 25114-2023</t>
        </is>
      </c>
      <c r="B302" s="1" t="n">
        <v>45086</v>
      </c>
      <c r="C302" s="1" t="n">
        <v>45209</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25114-2023.xlsx", "A 25114-2023")</f>
        <v/>
      </c>
      <c r="T302">
        <f>HYPERLINK("https://klasma.github.io/Logging_2161/kartor/A 25114-2023.png", "A 25114-2023")</f>
        <v/>
      </c>
      <c r="U302">
        <f>HYPERLINK("https://klasma.github.io/Logging_2161/knärot/A 25114-2023.png", "A 25114-2023")</f>
        <v/>
      </c>
      <c r="V302">
        <f>HYPERLINK("https://klasma.github.io/Logging_2161/klagomål/A 25114-2023.docx", "A 25114-2023")</f>
        <v/>
      </c>
      <c r="W302">
        <f>HYPERLINK("https://klasma.github.io/Logging_2161/klagomålsmail/A 25114-2023.docx", "A 25114-2023")</f>
        <v/>
      </c>
      <c r="X302">
        <f>HYPERLINK("https://klasma.github.io/Logging_2161/tillsyn/A 25114-2023.docx", "A 25114-2023")</f>
        <v/>
      </c>
      <c r="Y302">
        <f>HYPERLINK("https://klasma.github.io/Logging_2161/tillsynsmail/A 25114-2023.docx", "A 25114-2023")</f>
        <v/>
      </c>
    </row>
    <row r="303" ht="15" customHeight="1">
      <c r="A303" t="inlineStr">
        <is>
          <t>A 25802-2023</t>
        </is>
      </c>
      <c r="B303" s="1" t="n">
        <v>45090</v>
      </c>
      <c r="C303" s="1" t="n">
        <v>45209</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25802-2023.xlsx", "A 25802-2023")</f>
        <v/>
      </c>
      <c r="T303">
        <f>HYPERLINK("https://klasma.github.io/Logging_2183/kartor/A 25802-2023.png", "A 25802-2023")</f>
        <v/>
      </c>
      <c r="V303">
        <f>HYPERLINK("https://klasma.github.io/Logging_2183/klagomål/A 25802-2023.docx", "A 25802-2023")</f>
        <v/>
      </c>
      <c r="W303">
        <f>HYPERLINK("https://klasma.github.io/Logging_2183/klagomålsmail/A 25802-2023.docx", "A 25802-2023")</f>
        <v/>
      </c>
      <c r="X303">
        <f>HYPERLINK("https://klasma.github.io/Logging_2183/tillsyn/A 25802-2023.docx", "A 25802-2023")</f>
        <v/>
      </c>
      <c r="Y303">
        <f>HYPERLINK("https://klasma.github.io/Logging_2183/tillsynsmail/A 25802-2023.docx", "A 25802-2023")</f>
        <v/>
      </c>
    </row>
    <row r="304" ht="15" customHeight="1">
      <c r="A304" t="inlineStr">
        <is>
          <t>A 26003-2023</t>
        </is>
      </c>
      <c r="B304" s="1" t="n">
        <v>45090</v>
      </c>
      <c r="C304" s="1" t="n">
        <v>45209</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26003-2023.xlsx", "A 26003-2023")</f>
        <v/>
      </c>
      <c r="T304">
        <f>HYPERLINK("https://klasma.github.io/Logging_2161/kartor/A 26003-2023.png", "A 26003-2023")</f>
        <v/>
      </c>
      <c r="V304">
        <f>HYPERLINK("https://klasma.github.io/Logging_2161/klagomål/A 26003-2023.docx", "A 26003-2023")</f>
        <v/>
      </c>
      <c r="W304">
        <f>HYPERLINK("https://klasma.github.io/Logging_2161/klagomålsmail/A 26003-2023.docx", "A 26003-2023")</f>
        <v/>
      </c>
      <c r="X304">
        <f>HYPERLINK("https://klasma.github.io/Logging_2161/tillsyn/A 26003-2023.docx", "A 26003-2023")</f>
        <v/>
      </c>
      <c r="Y304">
        <f>HYPERLINK("https://klasma.github.io/Logging_2161/tillsynsmail/A 26003-2023.docx", "A 26003-2023")</f>
        <v/>
      </c>
    </row>
    <row r="305" ht="15" customHeight="1">
      <c r="A305" t="inlineStr">
        <is>
          <t>A 26538-2023</t>
        </is>
      </c>
      <c r="B305" s="1" t="n">
        <v>45092</v>
      </c>
      <c r="C305" s="1" t="n">
        <v>45209</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26538-2023.xlsx", "A 26538-2023")</f>
        <v/>
      </c>
      <c r="T305">
        <f>HYPERLINK("https://klasma.github.io/Logging_2161/kartor/A 26538-2023.png", "A 26538-2023")</f>
        <v/>
      </c>
      <c r="V305">
        <f>HYPERLINK("https://klasma.github.io/Logging_2161/klagomål/A 26538-2023.docx", "A 26538-2023")</f>
        <v/>
      </c>
      <c r="W305">
        <f>HYPERLINK("https://klasma.github.io/Logging_2161/klagomålsmail/A 26538-2023.docx", "A 26538-2023")</f>
        <v/>
      </c>
      <c r="X305">
        <f>HYPERLINK("https://klasma.github.io/Logging_2161/tillsyn/A 26538-2023.docx", "A 26538-2023")</f>
        <v/>
      </c>
      <c r="Y305">
        <f>HYPERLINK("https://klasma.github.io/Logging_2161/tillsynsmail/A 26538-2023.docx", "A 26538-2023")</f>
        <v/>
      </c>
    </row>
    <row r="306" ht="15" customHeight="1">
      <c r="A306" t="inlineStr">
        <is>
          <t>A 27148-2023</t>
        </is>
      </c>
      <c r="B306" s="1" t="n">
        <v>45096</v>
      </c>
      <c r="C306" s="1" t="n">
        <v>45209</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27148-2023.xlsx", "A 27148-2023")</f>
        <v/>
      </c>
      <c r="T306">
        <f>HYPERLINK("https://klasma.github.io/Logging_2182/kartor/A 27148-2023.png", "A 27148-2023")</f>
        <v/>
      </c>
      <c r="V306">
        <f>HYPERLINK("https://klasma.github.io/Logging_2182/klagomål/A 27148-2023.docx", "A 27148-2023")</f>
        <v/>
      </c>
      <c r="W306">
        <f>HYPERLINK("https://klasma.github.io/Logging_2182/klagomålsmail/A 27148-2023.docx", "A 27148-2023")</f>
        <v/>
      </c>
      <c r="X306">
        <f>HYPERLINK("https://klasma.github.io/Logging_2182/tillsyn/A 27148-2023.docx", "A 27148-2023")</f>
        <v/>
      </c>
      <c r="Y306">
        <f>HYPERLINK("https://klasma.github.io/Logging_2182/tillsynsmail/A 27148-2023.docx", "A 27148-2023")</f>
        <v/>
      </c>
    </row>
    <row r="307" ht="15" customHeight="1">
      <c r="A307" t="inlineStr">
        <is>
          <t>A 27637-2023</t>
        </is>
      </c>
      <c r="B307" s="1" t="n">
        <v>45097</v>
      </c>
      <c r="C307" s="1" t="n">
        <v>45209</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27637-2023.xlsx", "A 27637-2023")</f>
        <v/>
      </c>
      <c r="T307">
        <f>HYPERLINK("https://klasma.github.io/Logging_2132/kartor/A 27637-2023.png", "A 27637-2023")</f>
        <v/>
      </c>
      <c r="V307">
        <f>HYPERLINK("https://klasma.github.io/Logging_2132/klagomål/A 27637-2023.docx", "A 27637-2023")</f>
        <v/>
      </c>
      <c r="W307">
        <f>HYPERLINK("https://klasma.github.io/Logging_2132/klagomålsmail/A 27637-2023.docx", "A 27637-2023")</f>
        <v/>
      </c>
      <c r="X307">
        <f>HYPERLINK("https://klasma.github.io/Logging_2132/tillsyn/A 27637-2023.docx", "A 27637-2023")</f>
        <v/>
      </c>
      <c r="Y307">
        <f>HYPERLINK("https://klasma.github.io/Logging_2132/tillsynsmail/A 27637-2023.docx", "A 27637-2023")</f>
        <v/>
      </c>
    </row>
    <row r="308" ht="15" customHeight="1">
      <c r="A308" t="inlineStr">
        <is>
          <t>A 29578-2023</t>
        </is>
      </c>
      <c r="B308" s="1" t="n">
        <v>45106</v>
      </c>
      <c r="C308" s="1" t="n">
        <v>45209</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29578-2023.xlsx", "A 29578-2023")</f>
        <v/>
      </c>
      <c r="T308">
        <f>HYPERLINK("https://klasma.github.io/Logging_2132/kartor/A 29578-2023.png", "A 29578-2023")</f>
        <v/>
      </c>
      <c r="V308">
        <f>HYPERLINK("https://klasma.github.io/Logging_2132/klagomål/A 29578-2023.docx", "A 29578-2023")</f>
        <v/>
      </c>
      <c r="W308">
        <f>HYPERLINK("https://klasma.github.io/Logging_2132/klagomålsmail/A 29578-2023.docx", "A 29578-2023")</f>
        <v/>
      </c>
      <c r="X308">
        <f>HYPERLINK("https://klasma.github.io/Logging_2132/tillsyn/A 29578-2023.docx", "A 29578-2023")</f>
        <v/>
      </c>
      <c r="Y308">
        <f>HYPERLINK("https://klasma.github.io/Logging_2132/tillsynsmail/A 29578-2023.docx", "A 29578-2023")</f>
        <v/>
      </c>
    </row>
    <row r="309" ht="15" customHeight="1">
      <c r="A309" t="inlineStr">
        <is>
          <t>A 29400-2023</t>
        </is>
      </c>
      <c r="B309" s="1" t="n">
        <v>45106</v>
      </c>
      <c r="C309" s="1" t="n">
        <v>45209</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29400-2023.xlsx", "A 29400-2023")</f>
        <v/>
      </c>
      <c r="T309">
        <f>HYPERLINK("https://klasma.github.io/Logging_2104/kartor/A 29400-2023.png", "A 29400-2023")</f>
        <v/>
      </c>
      <c r="U309">
        <f>HYPERLINK("https://klasma.github.io/Logging_2104/knärot/A 29400-2023.png", "A 29400-2023")</f>
        <v/>
      </c>
      <c r="V309">
        <f>HYPERLINK("https://klasma.github.io/Logging_2104/klagomål/A 29400-2023.docx", "A 29400-2023")</f>
        <v/>
      </c>
      <c r="W309">
        <f>HYPERLINK("https://klasma.github.io/Logging_2104/klagomålsmail/A 29400-2023.docx", "A 29400-2023")</f>
        <v/>
      </c>
      <c r="X309">
        <f>HYPERLINK("https://klasma.github.io/Logging_2104/tillsyn/A 29400-2023.docx", "A 29400-2023")</f>
        <v/>
      </c>
      <c r="Y309">
        <f>HYPERLINK("https://klasma.github.io/Logging_2104/tillsynsmail/A 29400-2023.docx", "A 29400-2023")</f>
        <v/>
      </c>
    </row>
    <row r="310" ht="15" customHeight="1">
      <c r="A310" t="inlineStr">
        <is>
          <t>A 32171-2023</t>
        </is>
      </c>
      <c r="B310" s="1" t="n">
        <v>45107</v>
      </c>
      <c r="C310" s="1" t="n">
        <v>45209</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32171-2023.xlsx", "A 32171-2023")</f>
        <v/>
      </c>
      <c r="T310">
        <f>HYPERLINK("https://klasma.github.io/Logging_2161/kartor/A 32171-2023.png", "A 32171-2023")</f>
        <v/>
      </c>
      <c r="V310">
        <f>HYPERLINK("https://klasma.github.io/Logging_2161/klagomål/A 32171-2023.docx", "A 32171-2023")</f>
        <v/>
      </c>
      <c r="W310">
        <f>HYPERLINK("https://klasma.github.io/Logging_2161/klagomålsmail/A 32171-2023.docx", "A 32171-2023")</f>
        <v/>
      </c>
      <c r="X310">
        <f>HYPERLINK("https://klasma.github.io/Logging_2161/tillsyn/A 32171-2023.docx", "A 32171-2023")</f>
        <v/>
      </c>
      <c r="Y310">
        <f>HYPERLINK("https://klasma.github.io/Logging_2161/tillsynsmail/A 32171-2023.docx", "A 32171-2023")</f>
        <v/>
      </c>
    </row>
    <row r="311" ht="15" customHeight="1">
      <c r="A311" t="inlineStr">
        <is>
          <t>A 30245-2023</t>
        </is>
      </c>
      <c r="B311" s="1" t="n">
        <v>45110</v>
      </c>
      <c r="C311" s="1" t="n">
        <v>45209</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30245-2023.xlsx", "A 30245-2023")</f>
        <v/>
      </c>
      <c r="T311">
        <f>HYPERLINK("https://klasma.github.io/Logging_2161/kartor/A 30245-2023.png", "A 30245-2023")</f>
        <v/>
      </c>
      <c r="V311">
        <f>HYPERLINK("https://klasma.github.io/Logging_2161/klagomål/A 30245-2023.docx", "A 30245-2023")</f>
        <v/>
      </c>
      <c r="W311">
        <f>HYPERLINK("https://klasma.github.io/Logging_2161/klagomålsmail/A 30245-2023.docx", "A 30245-2023")</f>
        <v/>
      </c>
      <c r="X311">
        <f>HYPERLINK("https://klasma.github.io/Logging_2161/tillsyn/A 30245-2023.docx", "A 30245-2023")</f>
        <v/>
      </c>
      <c r="Y311">
        <f>HYPERLINK("https://klasma.github.io/Logging_2161/tillsynsmail/A 30245-2023.docx", "A 30245-2023")</f>
        <v/>
      </c>
    </row>
    <row r="312" ht="15" customHeight="1">
      <c r="A312" t="inlineStr">
        <is>
          <t>A 33491-2023</t>
        </is>
      </c>
      <c r="B312" s="1" t="n">
        <v>45118</v>
      </c>
      <c r="C312" s="1" t="n">
        <v>45209</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33491-2023.xlsx", "A 33491-2023")</f>
        <v/>
      </c>
      <c r="T312">
        <f>HYPERLINK("https://klasma.github.io/Logging_2104/kartor/A 33491-2023.png", "A 33491-2023")</f>
        <v/>
      </c>
      <c r="V312">
        <f>HYPERLINK("https://klasma.github.io/Logging_2104/klagomål/A 33491-2023.docx", "A 33491-2023")</f>
        <v/>
      </c>
      <c r="W312">
        <f>HYPERLINK("https://klasma.github.io/Logging_2104/klagomålsmail/A 33491-2023.docx", "A 33491-2023")</f>
        <v/>
      </c>
      <c r="X312">
        <f>HYPERLINK("https://klasma.github.io/Logging_2104/tillsyn/A 33491-2023.docx", "A 33491-2023")</f>
        <v/>
      </c>
      <c r="Y312">
        <f>HYPERLINK("https://klasma.github.io/Logging_2104/tillsynsmail/A 33491-2023.docx", "A 33491-2023")</f>
        <v/>
      </c>
    </row>
    <row r="313" ht="15" customHeight="1">
      <c r="A313" t="inlineStr">
        <is>
          <t>A 32254-2023</t>
        </is>
      </c>
      <c r="B313" s="1" t="n">
        <v>45120</v>
      </c>
      <c r="C313" s="1" t="n">
        <v>45209</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32254-2023.xlsx", "A 32254-2023")</f>
        <v/>
      </c>
      <c r="T313">
        <f>HYPERLINK("https://klasma.github.io/Logging_2180/kartor/A 32254-2023.png", "A 32254-2023")</f>
        <v/>
      </c>
      <c r="V313">
        <f>HYPERLINK("https://klasma.github.io/Logging_2180/klagomål/A 32254-2023.docx", "A 32254-2023")</f>
        <v/>
      </c>
      <c r="W313">
        <f>HYPERLINK("https://klasma.github.io/Logging_2180/klagomålsmail/A 32254-2023.docx", "A 32254-2023")</f>
        <v/>
      </c>
      <c r="X313">
        <f>HYPERLINK("https://klasma.github.io/Logging_2180/tillsyn/A 32254-2023.docx", "A 32254-2023")</f>
        <v/>
      </c>
      <c r="Y313">
        <f>HYPERLINK("https://klasma.github.io/Logging_2180/tillsynsmail/A 32254-2023.docx", "A 32254-2023")</f>
        <v/>
      </c>
    </row>
    <row r="314" ht="15" customHeight="1">
      <c r="A314" t="inlineStr">
        <is>
          <t>A 33298-2023</t>
        </is>
      </c>
      <c r="B314" s="1" t="n">
        <v>45127</v>
      </c>
      <c r="C314" s="1" t="n">
        <v>45209</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33298-2023.xlsx", "A 33298-2023")</f>
        <v/>
      </c>
      <c r="T314">
        <f>HYPERLINK("https://klasma.github.io/Logging_2104/kartor/A 33298-2023.png", "A 33298-2023")</f>
        <v/>
      </c>
      <c r="V314">
        <f>HYPERLINK("https://klasma.github.io/Logging_2104/klagomål/A 33298-2023.docx", "A 33298-2023")</f>
        <v/>
      </c>
      <c r="W314">
        <f>HYPERLINK("https://klasma.github.io/Logging_2104/klagomålsmail/A 33298-2023.docx", "A 33298-2023")</f>
        <v/>
      </c>
      <c r="X314">
        <f>HYPERLINK("https://klasma.github.io/Logging_2104/tillsyn/A 33298-2023.docx", "A 33298-2023")</f>
        <v/>
      </c>
      <c r="Y314">
        <f>HYPERLINK("https://klasma.github.io/Logging_2104/tillsynsmail/A 33298-2023.docx", "A 33298-2023")</f>
        <v/>
      </c>
    </row>
    <row r="315" ht="15" customHeight="1">
      <c r="A315" t="inlineStr">
        <is>
          <t>A 38400-2023</t>
        </is>
      </c>
      <c r="B315" s="1" t="n">
        <v>45162</v>
      </c>
      <c r="C315" s="1" t="n">
        <v>45209</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38400-2023.xlsx", "A 38400-2023")</f>
        <v/>
      </c>
      <c r="T315">
        <f>HYPERLINK("https://klasma.github.io/Logging_2161/kartor/A 38400-2023.png", "A 38400-2023")</f>
        <v/>
      </c>
      <c r="U315">
        <f>HYPERLINK("https://klasma.github.io/Logging_2161/knärot/A 38400-2023.png", "A 38400-2023")</f>
        <v/>
      </c>
      <c r="V315">
        <f>HYPERLINK("https://klasma.github.io/Logging_2161/klagomål/A 38400-2023.docx", "A 38400-2023")</f>
        <v/>
      </c>
      <c r="W315">
        <f>HYPERLINK("https://klasma.github.io/Logging_2161/klagomålsmail/A 38400-2023.docx", "A 38400-2023")</f>
        <v/>
      </c>
      <c r="X315">
        <f>HYPERLINK("https://klasma.github.io/Logging_2161/tillsyn/A 38400-2023.docx", "A 38400-2023")</f>
        <v/>
      </c>
      <c r="Y315">
        <f>HYPERLINK("https://klasma.github.io/Logging_2161/tillsynsmail/A 38400-2023.docx", "A 38400-2023")</f>
        <v/>
      </c>
    </row>
    <row r="316" ht="15" customHeight="1">
      <c r="A316" t="inlineStr">
        <is>
          <t>A 40943-2023</t>
        </is>
      </c>
      <c r="B316" s="1" t="n">
        <v>45173</v>
      </c>
      <c r="C316" s="1" t="n">
        <v>45209</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40943-2023.xlsx", "A 40943-2023")</f>
        <v/>
      </c>
      <c r="T316">
        <f>HYPERLINK("https://klasma.github.io/Logging_2161/kartor/A 40943-2023.png", "A 40943-2023")</f>
        <v/>
      </c>
      <c r="V316">
        <f>HYPERLINK("https://klasma.github.io/Logging_2161/klagomål/A 40943-2023.docx", "A 40943-2023")</f>
        <v/>
      </c>
      <c r="W316">
        <f>HYPERLINK("https://klasma.github.io/Logging_2161/klagomålsmail/A 40943-2023.docx", "A 40943-2023")</f>
        <v/>
      </c>
      <c r="X316">
        <f>HYPERLINK("https://klasma.github.io/Logging_2161/tillsyn/A 40943-2023.docx", "A 40943-2023")</f>
        <v/>
      </c>
      <c r="Y316">
        <f>HYPERLINK("https://klasma.github.io/Logging_2161/tillsynsmail/A 40943-2023.docx", "A 40943-2023")</f>
        <v/>
      </c>
    </row>
    <row r="317" ht="15" customHeight="1">
      <c r="A317" t="inlineStr">
        <is>
          <t>A 33998-2018</t>
        </is>
      </c>
      <c r="B317" s="1" t="n">
        <v>43314</v>
      </c>
      <c r="C317" s="1" t="n">
        <v>45209</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45209</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45209</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45209</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45209</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45209</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45209</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45209</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45209</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45209</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45209</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45209</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45209</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45209</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45209</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45209</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45209</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45209</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45209</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45209</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45209</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45209</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45209</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45209</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45209</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45209</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45209</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45209</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45209</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45209</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45209</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45209</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45209</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45209</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45209</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45209</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45209</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45209</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45209</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45209</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45209</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45209</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45209</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45209</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45209</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45209</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45209</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45209</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45209</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45209</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45209</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45209</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45209</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45209</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45209</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45209</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45209</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45209</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45209</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45209</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45209</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45209</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45209</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45209</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45209</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45209</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45209</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45209</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45209</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45209</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45209</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45209</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45209</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45209</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45209</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45209</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45209</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45209</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45209</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45209</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45209</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45209</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45209</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45209</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45209</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45209</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45209</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45209</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45209</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45209</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45209</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45209</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45209</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45209</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45209</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45209</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45209</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45209</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45209</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45209</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45209</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45209</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45209</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45209</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45209</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45209</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45209</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45209</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45209</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45209</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45209</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45209</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45209</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45209</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45209</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45209</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45209</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45209</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45209</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45209</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45209</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45209</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45209</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45209</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45209</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45209</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45209</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45209</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45209</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45209</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45209</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45209</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45209</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45209</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45209</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45209</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45209</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45209</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45209</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45209</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45209</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45209</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45209</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45209</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45209</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45209</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45209</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45209</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45209</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45209</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45209</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45209</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45209</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45209</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45209</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45209</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45209</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45209</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45209</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45209</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45209</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45209</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45209</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45209</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45209</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45209</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45209</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45209</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45209</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45209</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45209</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45209</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45209</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45209</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45209</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45209</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45209</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45209</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45209</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45209</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45209</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45209</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45209</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45209</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45209</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45209</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45209</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45209</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45209</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45209</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45209</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45209</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45209</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45209</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45209</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45209</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45209</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45209</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45209</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45209</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45209</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45209</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45209</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45209</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45209</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45209</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45209</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45209</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45209</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45209</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45209</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45209</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45209</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45209</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45209</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45209</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45209</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45209</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45209</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45209</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45209</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45209</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45209</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45209</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45209</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45209</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45209</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45209</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45209</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45209</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45209</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45209</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45209</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45209</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45209</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45209</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45209</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45209</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45209</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45209</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45209</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45209</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45209</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45209</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45209</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45209</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45209</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45209</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45209</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45209</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45209</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45209</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45209</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45209</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45209</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45209</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45209</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45209</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45209</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45209</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45209</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45209</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45209</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45209</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45209</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45209</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45209</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45209</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45209</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45209</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45209</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45209</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45209</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45209</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45209</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45209</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45209</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45209</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45209</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45209</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45209</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45209</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45209</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45209</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45209</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45209</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45209</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45209</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45209</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45209</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45209</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45209</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45209</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45209</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45209</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45209</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45209</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45209</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45209</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45209</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45209</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45209</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45209</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45209</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45209</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45209</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45209</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45209</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45209</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45209</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45209</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45209</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45209</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45209</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45209</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45209</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45209</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45209</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45209</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45209</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45209</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45209</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45209</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45209</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45209</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45209</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45209</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45209</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45209</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45209</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45209</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45209</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45209</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45209</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45209</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45209</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45209</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45209</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45209</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45209</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45209</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45209</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45209</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45209</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45209</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45209</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45209</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45209</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45209</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45209</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45209</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45209</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45209</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45209</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45209</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45209</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45209</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45209</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45209</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45209</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45209</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45209</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45209</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45209</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45209</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45209</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45209</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45209</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45209</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45209</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45209</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45209</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45209</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45209</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45209</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45209</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45209</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45209</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45209</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45209</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45209</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45209</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45209</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45209</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45209</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45209</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45209</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45209</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45209</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45209</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45209</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45209</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45209</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45209</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45209</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45209</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45209</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45209</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45209</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45209</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45209</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45209</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45209</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45209</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45209</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45209</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45209</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45209</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45209</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45209</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45209</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45209</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45209</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45209</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45209</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45209</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45209</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45209</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45209</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45209</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45209</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45209</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45209</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45209</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45209</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45209</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45209</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45209</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45209</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45209</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45209</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45209</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45209</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45209</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45209</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45209</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45209</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45209</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45209</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45209</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45209</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45209</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45209</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45209</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45209</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45209</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45209</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45209</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45209</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45209</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45209</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45209</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45209</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45209</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45209</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45209</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45209</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45209</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45209</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45209</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45209</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45209</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45209</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45209</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45209</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45209</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45209</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45209</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45209</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45209</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45209</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45209</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45209</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45209</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45209</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45209</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45209</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45209</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45209</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45209</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45209</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45209</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45209</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45209</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45209</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45209</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45209</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45209</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45209</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45209</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45209</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45209</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45209</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45209</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45209</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45209</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45209</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45209</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45209</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45209</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45209</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45209</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45209</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45209</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45209</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45209</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45209</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45209</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45209</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45209</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45209</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45209</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45209</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45209</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45209</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45209</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45209</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45209</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45209</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45209</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45209</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45209</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45209</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45209</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45209</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45209</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45209</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45209</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45209</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45209</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45209</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45209</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45209</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45209</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45209</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45209</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45209</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45209</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45209</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45209</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45209</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45209</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45209</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45209</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45209</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45209</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45209</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45209</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45209</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45209</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45209</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45209</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45209</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45209</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45209</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45209</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45209</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45209</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45209</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45209</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45209</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45209</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45209</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45209</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45209</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45209</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45209</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45209</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45209</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45209</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45209</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45209</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45209</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45209</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45209</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45209</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45209</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45209</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45209</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45209</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45209</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45209</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45209</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45209</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45209</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45209</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45209</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45209</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45209</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45209</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45209</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45209</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45209</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45209</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45209</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45209</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45209</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45209</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45209</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45209</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45209</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45209</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45209</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45209</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45209</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45209</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45209</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45209</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45209</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45209</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45209</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45209</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45209</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45209</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45209</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45209</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45209</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45209</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45209</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45209</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45209</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45209</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45209</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45209</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45209</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21091-2019.png", "A 21091-2019")</f>
        <v/>
      </c>
      <c r="V941">
        <f>HYPERLINK("https://klasma.github.io/Logging_2161/klagomål/A 21091-2019.docx", "A 21091-2019")</f>
        <v/>
      </c>
      <c r="W941">
        <f>HYPERLINK("https://klasma.github.io/Logging_2161/klagomålsmail/A 21091-2019.docx", "A 21091-2019")</f>
        <v/>
      </c>
      <c r="X941">
        <f>HYPERLINK("https://klasma.github.io/Logging_2161/tillsyn/A 21091-2019.docx", "A 21091-2019")</f>
        <v/>
      </c>
      <c r="Y941">
        <f>HYPERLINK("https://klasma.github.io/Logging_2161/tillsynsmail/A 21091-2019.docx", "A 21091-2019")</f>
        <v/>
      </c>
    </row>
    <row r="942" ht="15" customHeight="1">
      <c r="A942" t="inlineStr">
        <is>
          <t>A 21349-2019</t>
        </is>
      </c>
      <c r="B942" s="1" t="n">
        <v>43579</v>
      </c>
      <c r="C942" s="1" t="n">
        <v>45209</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45209</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45209</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45209</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45209</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45209</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45209</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45209</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45209</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21734-2019.png", "A 21734-2019")</f>
        <v/>
      </c>
      <c r="V950">
        <f>HYPERLINK("https://klasma.github.io/Logging_2104/klagomål/A 21734-2019.docx", "A 21734-2019")</f>
        <v/>
      </c>
      <c r="W950">
        <f>HYPERLINK("https://klasma.github.io/Logging_2104/klagomålsmail/A 21734-2019.docx", "A 21734-2019")</f>
        <v/>
      </c>
      <c r="X950">
        <f>HYPERLINK("https://klasma.github.io/Logging_2104/tillsyn/A 21734-2019.docx", "A 21734-2019")</f>
        <v/>
      </c>
      <c r="Y950">
        <f>HYPERLINK("https://klasma.github.io/Logging_2104/tillsynsmail/A 21734-2019.docx", "A 21734-2019")</f>
        <v/>
      </c>
    </row>
    <row r="951" ht="15" customHeight="1">
      <c r="A951" t="inlineStr">
        <is>
          <t>A 21796-2019</t>
        </is>
      </c>
      <c r="B951" s="1" t="n">
        <v>43581</v>
      </c>
      <c r="C951" s="1" t="n">
        <v>45209</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45209</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45209</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45209</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45209</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45209</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45209</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45209</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45209</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45209</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45209</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45209</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45209</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45209</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45209</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45209</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45209</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45209</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45209</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45209</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45209</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45209</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45209</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45209</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45209</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45209</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45209</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45209</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45209</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45209</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45209</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45209</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45209</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45209</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45209</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45209</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45209</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45209</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45209</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45209</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45209</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45209</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45209</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45209</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45209</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45209</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45209</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45209</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45209</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45209</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45209</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45209</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45209</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45209</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45209</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45209</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45209</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45209</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45209</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45209</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45209</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45209</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45209</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45209</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45209</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45209</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45209</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45209</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45209</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45209</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45209</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45209</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45209</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45209</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45209</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45209</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45209</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45209</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45209</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45209</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45209</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45209</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45209</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45209</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45209</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45209</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45209</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45209</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45209</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45209</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45209</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45209</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45209</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45209</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45209</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45209</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45209</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45209</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45209</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45209</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45209</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45209</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45209</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45209</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45209</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45209</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45209</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45209</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45209</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45209</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45209</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45209</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45209</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45209</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45209</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45209</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45209</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45209</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45209</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45209</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45209</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45209</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45209</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45209</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45209</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45209</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45209</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45209</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45209</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45209</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45209</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45209</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45209</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45209</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45209</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45209</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45209</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45209</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45209</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45209</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45209</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45209</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45209</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45209</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45209</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45209</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45209</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45209</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45209</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45209</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45209</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45209</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45209</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45209</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45209</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45209</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45209</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45209</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45209</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45209</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45209</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45209</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45209</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45209</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45209</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45209</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45209</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45209</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45209</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45209</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45209</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45209</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45209</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45209</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45209</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45209</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45209</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45209</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45209</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45209</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45209</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45209</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45209</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45209</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45209</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45209</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45209</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45209</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45209</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45209</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45209</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45209</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45209</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45209</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45209</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45209</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45209</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45209</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45209</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45209</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45209</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45209</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45209</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45209</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45209</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45209</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45209</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45209</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45209</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45209</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45209</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45209</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45209</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45209</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45209</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45209</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45209</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45209</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45209</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45209</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45209</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45209</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45209</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45209</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45209</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45209</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45209</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45209</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45209</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45209</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45209</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45209</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45209</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45209</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45209</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45209</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45209</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45209</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45209</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45209</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45209</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45209</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45209</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45209</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45209</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45209</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45209</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45209</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45209</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45209</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45209</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45209</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45209</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45209</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45209</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45209</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45209</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45209</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45209</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45209</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45209</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45209</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45209</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45209</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45209</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45209</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45209</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45209</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45209</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45209</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45209</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45209</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45209</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45209</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45209</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45209</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45209</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45209</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45209</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40385-2019.png", "A 40385-2019")</f>
        <v/>
      </c>
      <c r="V1229">
        <f>HYPERLINK("https://klasma.github.io/Logging_2104/klagomål/A 40385-2019.docx", "A 40385-2019")</f>
        <v/>
      </c>
      <c r="W1229">
        <f>HYPERLINK("https://klasma.github.io/Logging_2104/klagomålsmail/A 40385-2019.docx", "A 40385-2019")</f>
        <v/>
      </c>
      <c r="X1229">
        <f>HYPERLINK("https://klasma.github.io/Logging_2104/tillsyn/A 40385-2019.docx", "A 40385-2019")</f>
        <v/>
      </c>
      <c r="Y1229">
        <f>HYPERLINK("https://klasma.github.io/Logging_2104/tillsynsmail/A 40385-2019.docx", "A 40385-2019")</f>
        <v/>
      </c>
    </row>
    <row r="1230" ht="15" customHeight="1">
      <c r="A1230" t="inlineStr">
        <is>
          <t>A 40440-2019</t>
        </is>
      </c>
      <c r="B1230" s="1" t="n">
        <v>43696</v>
      </c>
      <c r="C1230" s="1" t="n">
        <v>45209</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45209</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45209</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45209</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45209</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45209</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45209</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45209</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45209</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45209</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45209</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45209</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45209</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45209</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45209</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45209</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45209</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45209</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45209</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45209</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45209</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45209</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45209</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45209</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45209</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45209</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45209</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45209</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45209</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45209</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45209</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45209</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45209</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45209</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45209</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45209</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45209</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45209</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45209</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45209</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45209</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45209</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45209</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45209</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45209</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45209</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45209</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45209</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45209</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45209</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45209</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45209</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45209</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45209</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45209</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45209</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45209</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45209</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45209</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45209</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45209</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45209</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45209</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45209</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45209</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45209</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45209</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45209</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45209</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45209</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45209</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45209</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45209</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45209</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45209</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45209</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45209</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45209</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45209</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45209</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45209</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45209</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45209</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45209</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45209</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45209</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45209</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45209</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45209</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45209</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45209</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45209</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45209</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45209</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45209</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45209</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45209</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45209</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45209</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45209</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45209</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45209</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45209</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45209</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45209</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45209</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45209</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45209</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45209</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45209</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45209</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45209</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45209</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45209</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45209</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45209</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45209</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45209</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45209</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45209</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45209</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45209</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45209</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45209</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45209</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45209</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45209</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45209</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45209</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45209</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45209</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45209</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45209</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45209</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45209</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45209</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45209</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45209</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45209</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45209</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45209</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45209</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45209</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45209</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45209</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45209</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45209</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45209</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45209</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45209</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45209</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45209</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45209</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45209</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45209</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45209</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45209</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45209</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45209</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45209</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45209</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45209</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45209</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45209</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45209</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45209</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45209</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45209</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45209</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45209</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45209</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45209</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45209</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45209</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45209</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45209</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45209</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45209</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45209</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45209</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45209</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45209</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45209</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45209</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45209</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45209</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45209</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45209</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45209</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45209</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45209</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45209</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45209</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45209</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45209</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45209</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45209</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45209</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45209</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45209</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45209</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45209</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45209</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45209</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45209</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45209</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45209</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45209</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45209</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45209</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45209</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45209</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45209</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45209</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45209</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45209</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45209</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45209</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45209</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45209</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45209</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45209</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45209</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45209</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45209</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45209</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45209</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45209</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45209</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45209</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45209</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45209</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45209</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45209</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45209</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45209</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45209</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45209</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45209</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45209</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45209</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45209</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45209</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45209</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45209</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45209</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45209</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45209</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45209</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45209</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45209</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45209</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45209</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45209</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45209</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45209</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45209</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45209</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45209</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45209</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45209</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45209</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45209</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45209</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45209</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45209</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45209</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45209</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45209</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45209</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45209</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45209</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45209</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45209</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45209</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45209</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45209</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45209</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45209</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45209</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45209</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45209</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45209</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45209</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45209</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45209</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45209</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45209</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45209</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45209</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45209</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45209</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45209</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45209</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45209</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45209</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45209</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45209</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45209</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45209</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45209</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45209</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45209</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45209</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45209</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45209</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45209</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45209</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45209</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45209</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45209</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45209</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45209</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45209</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45209</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45209</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45209</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45209</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45209</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45209</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45209</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45209</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45209</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45209</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45209</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45209</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45209</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45209</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45209</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61374-2019.png", "A 61374-2019")</f>
        <v/>
      </c>
      <c r="V1558">
        <f>HYPERLINK("https://klasma.github.io/Logging_2183/klagomål/A 61374-2019.docx", "A 61374-2019")</f>
        <v/>
      </c>
      <c r="W1558">
        <f>HYPERLINK("https://klasma.github.io/Logging_2183/klagomålsmail/A 61374-2019.docx", "A 61374-2019")</f>
        <v/>
      </c>
      <c r="X1558">
        <f>HYPERLINK("https://klasma.github.io/Logging_2183/tillsyn/A 61374-2019.docx", "A 61374-2019")</f>
        <v/>
      </c>
      <c r="Y1558">
        <f>HYPERLINK("https://klasma.github.io/Logging_2183/tillsynsmail/A 61374-2019.docx", "A 61374-2019")</f>
        <v/>
      </c>
    </row>
    <row r="1559" ht="15" customHeight="1">
      <c r="A1559" t="inlineStr">
        <is>
          <t>A 61501-2019</t>
        </is>
      </c>
      <c r="B1559" s="1" t="n">
        <v>43783</v>
      </c>
      <c r="C1559" s="1" t="n">
        <v>45209</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45209</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45209</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45209</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45209</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45209</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45209</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45209</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45209</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45209</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45209</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45209</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45209</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45209</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45209</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45209</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45209</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45209</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45209</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45209</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45209</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45209</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45209</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45209</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45209</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45209</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45209</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45209</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45209</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45209</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45209</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45209</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45209</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45209</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45209</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45209</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45209</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45209</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45209</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45209</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45209</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45209</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45209</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45209</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45209</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45209</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45209</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45209</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45209</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45209</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45209</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45209</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45209</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45209</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45209</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45209</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45209</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45209</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45209</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45209</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45209</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45209</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45209</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45209</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45209</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45209</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45209</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45209</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45209</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45209</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45209</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45209</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45209</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45209</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45209</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45209</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45209</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45209</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45209</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45209</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45209</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45209</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45209</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45209</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45209</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45209</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45209</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45209</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45209</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45209</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45209</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45209</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45209</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45209</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45209</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45209</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45209</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45209</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45209</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45209</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45209</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45209</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45209</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45209</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45209</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45209</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45209</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45209</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45209</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45209</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45209</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45209</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45209</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45209</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45209</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45209</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45209</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45209</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45209</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45209</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45209</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45209</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45209</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45209</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45209</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45209</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45209</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45209</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45209</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45209</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45209</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45209</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45209</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45209</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45209</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45209</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45209</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45209</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45209</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45209</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45209</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45209</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45209</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45209</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45209</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45209</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45209</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45209</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45209</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45209</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45209</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45209</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45209</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45209</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45209</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45209</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45209</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45209</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45209</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45209</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45209</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45209</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45209</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45209</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45209</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45209</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45209</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45209</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45209</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45209</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45209</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45209</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45209</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45209</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45209</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45209</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45209</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45209</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45209</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45209</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45209</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45209</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45209</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45209</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45209</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45209</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45209</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45209</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45209</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45209</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45209</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45209</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45209</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45209</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45209</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45209</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45209</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45209</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45209</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45209</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45209</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45209</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45209</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45209</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45209</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45209</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45209</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45209</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45209</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45209</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45209</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45209</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45209</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45209</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45209</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45209</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45209</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45209</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45209</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45209</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45209</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45209</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45209</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45209</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45209</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45209</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45209</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45209</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45209</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45209</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45209</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45209</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45209</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45209</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45209</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45209</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45209</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45209</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45209</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45209</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45209</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45209</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45209</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45209</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45209</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45209</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45209</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45209</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45209</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45209</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45209</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45209</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45209</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45209</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45209</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45209</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45209</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45209</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45209</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45209</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45209</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45209</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45209</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45209</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45209</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45209</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45209</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45209</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45209</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45209</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45209</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45209</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45209</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45209</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45209</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45209</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45209</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45209</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45209</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45209</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45209</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45209</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45209</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45209</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45209</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45209</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45209</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45209</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45209</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45209</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45209</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45209</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45209</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45209</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45209</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45209</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45209</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45209</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45209</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45209</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45209</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45209</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45209</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45209</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45209</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45209</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45209</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45209</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45209</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45209</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45209</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45209</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45209</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45209</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45209</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45209</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45209</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45209</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45209</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45209</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45209</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45209</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45209</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45209</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45209</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45209</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45209</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45209</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45209</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45209</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45209</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45209</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45209</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45209</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45209</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45209</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45209</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45209</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45209</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45209</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45209</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45209</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45209</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45209</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45209</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45209</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45209</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45209</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45209</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45209</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45209</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45209</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45209</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45209</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45209</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45209</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45209</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45209</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45209</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45209</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45209</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45209</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45209</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45209</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45209</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45209</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45209</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45209</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45209</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45209</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45209</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45209</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45209</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45209</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45209</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45209</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45209</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45209</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45209</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45209</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45209</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45209</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45209</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45209</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45209</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45209</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45209</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45209</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45209</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45209</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45209</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45209</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45209</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45209</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45209</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45209</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45209</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45209</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45209</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45209</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45209</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45209</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45209</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45209</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45209</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45209</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45209</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45209</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45209</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45209</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45209</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45209</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45209</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45209</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45209</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45209</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45209</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45209</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45209</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45209</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45209</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45209</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45209</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45209</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45209</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45209</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45209</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45209</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45209</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45209</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45209</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45209</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45209</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45209</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45209</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45209</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45209</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45209</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45209</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45209</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45209</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45209</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45209</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45209</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45209</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45209</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45209</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45209</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45209</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45209</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45209</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45209</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45209</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45209</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45209</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45209</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45209</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45209</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45209</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45209</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45209</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45209</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45209</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45209</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45209</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45209</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45209</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45209</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45209</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45209</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45209</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45209</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45209</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45209</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45209</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45209</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45209</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45209</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45209</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25270-2020.png", "A 25270-2020")</f>
        <v/>
      </c>
      <c r="V2037">
        <f>HYPERLINK("https://klasma.github.io/Logging_2184/klagomål/A 25270-2020.docx", "A 25270-2020")</f>
        <v/>
      </c>
      <c r="W2037">
        <f>HYPERLINK("https://klasma.github.io/Logging_2184/klagomålsmail/A 25270-2020.docx", "A 25270-2020")</f>
        <v/>
      </c>
      <c r="X2037">
        <f>HYPERLINK("https://klasma.github.io/Logging_2184/tillsyn/A 25270-2020.docx", "A 25270-2020")</f>
        <v/>
      </c>
      <c r="Y2037">
        <f>HYPERLINK("https://klasma.github.io/Logging_2184/tillsynsmail/A 25270-2020.docx", "A 25270-2020")</f>
        <v/>
      </c>
    </row>
    <row r="2038" ht="15" customHeight="1">
      <c r="A2038" t="inlineStr">
        <is>
          <t>A 25219-2020</t>
        </is>
      </c>
      <c r="B2038" s="1" t="n">
        <v>43980</v>
      </c>
      <c r="C2038" s="1" t="n">
        <v>45209</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45209</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45209</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45209</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45209</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45209</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45209</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45209</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45209</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45209</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45209</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45209</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45209</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45209</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45209</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45209</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45209</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45209</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45209</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45209</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45209</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45209</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45209</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45209</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45209</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45209</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45209</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45209</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45209</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45209</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45209</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45209</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45209</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45209</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45209</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45209</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45209</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45209</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45209</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45209</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45209</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45209</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45209</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45209</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45209</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45209</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45209</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45209</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45209</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45209</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45209</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45209</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45209</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45209</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45209</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45209</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45209</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45209</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45209</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45209</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45209</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45209</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45209</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45209</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45209</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45209</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45209</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45209</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45209</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45209</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45209</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45209</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45209</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45209</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45209</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45209</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45209</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45209</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45209</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45209</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45209</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45209</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45209</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45209</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45209</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45209</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45209</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45209</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45209</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45209</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45209</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45209</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45209</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45209</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45209</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45209</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45209</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45209</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45209</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45209</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45209</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45209</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45209</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45209</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45209</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45209</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45209</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45209</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45209</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45209</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45209</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45209</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45209</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45209</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45209</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45209</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45209</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45209</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45209</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45209</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45209</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45209</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45209</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45209</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45209</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45209</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45209</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45209</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45209</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45209</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45209</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45209</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45209</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45209</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45209</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45209</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45209</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45209</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45209</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45209</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45209</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45209</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45209</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45209</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45209</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45209</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45209</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45209</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45209</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45209</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45209</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45209</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45209</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45209</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45209</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45209</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45209</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45209</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45209</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45209</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45209</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45209</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45209</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45209</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45209</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45209</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45209</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45209</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45209</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45209</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45209</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45209</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45209</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45209</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45209</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45209</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45209</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45209</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45209</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45209</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45209</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45209</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45209</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45209</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45209</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45209</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45209</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45209</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45209</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45209</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45209</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45209</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45209</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45209</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45209</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45209</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45209</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45209</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45209</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45209</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45209</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45209</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45209</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45209</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45209</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45209</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45209</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45209</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45209</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45209</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45209</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45209</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45209</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45209</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45209</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45209</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45209</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45209</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45209</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45209</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45209</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45209</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45209</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45209</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45209</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45209</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45209</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45209</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45209</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45209</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45209</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45209</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45209</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45209</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45209</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45209</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45209</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45209</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45209</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45209</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45209</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45209</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45209</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45209</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45209</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45209</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45209</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45209</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45209</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45209</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45209</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45209</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45209</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39524-2020.png", "A 39524-2020")</f>
        <v/>
      </c>
      <c r="V2290">
        <f>HYPERLINK("https://klasma.github.io/Logging_2132/klagomål/A 39524-2020.docx", "A 39524-2020")</f>
        <v/>
      </c>
      <c r="W2290">
        <f>HYPERLINK("https://klasma.github.io/Logging_2132/klagomålsmail/A 39524-2020.docx", "A 39524-2020")</f>
        <v/>
      </c>
      <c r="X2290">
        <f>HYPERLINK("https://klasma.github.io/Logging_2132/tillsyn/A 39524-2020.docx", "A 39524-2020")</f>
        <v/>
      </c>
      <c r="Y2290">
        <f>HYPERLINK("https://klasma.github.io/Logging_2132/tillsynsmail/A 39524-2020.docx", "A 39524-2020")</f>
        <v/>
      </c>
    </row>
    <row r="2291" ht="15" customHeight="1">
      <c r="A2291" t="inlineStr">
        <is>
          <t>A 39594-2020</t>
        </is>
      </c>
      <c r="B2291" s="1" t="n">
        <v>44064</v>
      </c>
      <c r="C2291" s="1" t="n">
        <v>45209</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45209</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45209</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45209</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45209</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45209</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45209</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45209</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45209</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45209</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45209</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45209</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45209</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45209</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45209</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45209</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45209</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45209</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45209</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45209</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45209</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45209</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45209</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45209</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45209</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45209</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45209</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45209</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45209</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45209</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45209</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45209</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45209</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45209</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45209</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45209</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45209</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45209</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45209</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45209</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45209</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45209</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45209</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45209</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45209</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45209</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45209</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45209</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45209</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45209</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45209</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45209</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45209</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45209</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45209</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45209</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45209</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45209</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45209</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45209</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45209</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45209</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45209</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45209</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45209</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45209</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45209</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45209</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45209</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45209</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45209</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45209</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45209</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45209</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45209</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45209</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45209</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45209</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45209</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45209</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45209</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45209</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45209</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45209</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45209</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45209</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45209</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45209</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45209</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45209</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45209</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45209</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45209</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45209</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45209</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45209</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45209</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45209</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45209</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45209</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45209</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45209</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45209</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45209</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45209</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45209</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45209</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45209</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45209</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45209</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45209</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45209</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45209</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45209</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45209</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45209</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45209</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45209</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45209</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45209</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45209</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45209</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45209</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45209</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45209</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45209</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45209</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45209</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45209</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45209</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45209</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45209</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45209</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45209</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45209</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45209</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45209</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45209</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45209</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45209</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45209</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45209</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45209</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45209</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45209</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45209</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45209</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45209</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45209</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45209</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45209</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45209</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45209</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45209</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45209</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45209</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45209</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45209</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45209</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45209</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45209</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45209</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45209</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45209</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45209</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45209</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45209</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45209</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45209</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45209</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45209</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45209</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45209</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45209</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45209</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45209</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45209</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45209</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45209</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45209</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45209</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45209</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45209</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45209</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45209</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45209</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45209</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45209</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45209</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45209</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45209</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45209</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45209</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45209</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45209</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45209</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45209</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45209</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45209</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45209</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45209</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45209</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45209</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45209</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45209</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45209</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45209</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45209</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45209</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45209</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45209</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45209</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45209</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45209</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45209</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45209</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45209</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45209</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45209</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45209</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45209</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45209</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45209</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45209</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45209</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45209</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45209</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45209</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45209</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45209</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45209</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45209</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45209</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45209</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45209</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45209</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45209</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45209</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45209</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45209</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45209</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45209</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45209</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45209</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45209</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45209</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45209</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45209</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45209</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45209</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45209</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45209</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45209</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45209</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45209</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45209</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45209</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45209</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45209</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45209</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45209</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45209</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45209</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45209</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45209</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45209</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45209</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45209</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45209</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45209</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45209</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45209</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45209</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45209</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45209</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45209</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45209</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45209</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45209</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45209</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45209</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45209</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45209</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45209</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45209</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45209</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45209</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45209</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45209</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45209</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45209</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45209</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45209</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45209</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45209</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45209</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45209</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45209</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45209</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45209</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45209</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45209</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45209</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45209</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45209</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45209</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45209</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45209</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45209</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45209</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45209</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45209</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45209</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45209</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45209</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45209</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45209</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45209</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45209</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45209</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45209</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45209</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45209</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45209</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45209</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45209</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45209</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45209</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45209</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45209</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45209</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45209</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45209</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45209</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45209</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45209</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45209</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45209</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45209</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45209</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45209</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45209</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45209</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45209</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45209</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45209</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45209</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45209</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45209</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45209</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45209</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45209</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45209</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45209</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45209</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45209</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45209</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45209</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45209</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45209</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45209</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45209</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45209</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45209</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45209</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45209</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45209</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45209</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45209</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45209</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45209</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45209</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45209</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45209</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45209</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45209</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45209</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45209</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45209</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45209</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45209</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45209</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45209</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45209</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45209</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45209</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45209</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45209</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45209</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45209</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45209</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45209</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45209</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45209</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45209</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45209</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45209</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45209</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45209</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45209</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45209</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45209</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45209</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45209</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45209</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45209</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45209</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45209</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45209</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45209</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45209</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45209</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45209</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45209</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45209</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45209</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45209</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45209</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45209</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45209</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45209</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45209</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65684-2020.png", "A 65684-2020")</f>
        <v/>
      </c>
      <c r="V2712">
        <f>HYPERLINK("https://klasma.github.io/Logging_2101/klagomål/A 65684-2020.docx", "A 65684-2020")</f>
        <v/>
      </c>
      <c r="W2712">
        <f>HYPERLINK("https://klasma.github.io/Logging_2101/klagomålsmail/A 65684-2020.docx", "A 65684-2020")</f>
        <v/>
      </c>
      <c r="X2712">
        <f>HYPERLINK("https://klasma.github.io/Logging_2101/tillsyn/A 65684-2020.docx", "A 65684-2020")</f>
        <v/>
      </c>
      <c r="Y2712">
        <f>HYPERLINK("https://klasma.github.io/Logging_2101/tillsynsmail/A 65684-2020.docx", "A 65684-2020")</f>
        <v/>
      </c>
    </row>
    <row r="2713" ht="15" customHeight="1">
      <c r="A2713" t="inlineStr">
        <is>
          <t>A 65835-2020</t>
        </is>
      </c>
      <c r="B2713" s="1" t="n">
        <v>44174</v>
      </c>
      <c r="C2713" s="1" t="n">
        <v>45209</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45209</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45209</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45209</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45209</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45209</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45209</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45209</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45209</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45209</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45209</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45209</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45209</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45209</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45209</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45209</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45209</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45209</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45209</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45209</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45209</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45209</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45209</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45209</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45209</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45209</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45209</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45209</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45209</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45209</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45209</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45209</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45209</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45209</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45209</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45209</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45209</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45209</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45209</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45209</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45209</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45209</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45209</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45209</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45209</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45209</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45209</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45209</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45209</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45209</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45209</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45209</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45209</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45209</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45209</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45209</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45209</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45209</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45209</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45209</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45209</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45209</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45209</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45209</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45209</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45209</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69571-2020.png", "A 69571-2020")</f>
        <v/>
      </c>
      <c r="V2778">
        <f>HYPERLINK("https://klasma.github.io/Logging_2161/klagomål/A 69571-2020.docx", "A 69571-2020")</f>
        <v/>
      </c>
      <c r="W2778">
        <f>HYPERLINK("https://klasma.github.io/Logging_2161/klagomålsmail/A 69571-2020.docx", "A 69571-2020")</f>
        <v/>
      </c>
      <c r="X2778">
        <f>HYPERLINK("https://klasma.github.io/Logging_2161/tillsyn/A 69571-2020.docx", "A 69571-2020")</f>
        <v/>
      </c>
      <c r="Y2778">
        <f>HYPERLINK("https://klasma.github.io/Logging_2161/tillsynsmail/A 69571-2020.docx", "A 69571-2020")</f>
        <v/>
      </c>
    </row>
    <row r="2779" ht="15" customHeight="1">
      <c r="A2779" t="inlineStr">
        <is>
          <t>A 69660-2020</t>
        </is>
      </c>
      <c r="B2779" s="1" t="n">
        <v>44195</v>
      </c>
      <c r="C2779" s="1" t="n">
        <v>45209</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45209</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45209</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45209</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45209</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45209</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45209</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45209</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45209</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45209</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45209</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45209</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45209</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45209</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45209</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45209</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45209</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45209</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45209</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45209</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45209</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45209</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45209</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45209</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45209</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45209</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45209</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45209</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45209</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45209</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45209</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45209</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45209</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45209</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45209</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45209</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45209</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45209</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45209</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45209</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45209</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45209</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45209</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45209</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45209</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45209</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45209</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45209</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45209</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45209</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45209</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45209</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45209</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45209</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45209</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45209</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45209</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45209</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45209</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45209</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45209</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45209</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45209</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45209</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45209</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45209</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45209</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45209</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45209</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45209</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45209</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45209</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45209</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45209</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45209</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45209</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45209</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45209</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45209</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45209</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45209</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45209</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45209</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45209</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45209</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45209</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45209</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45209</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45209</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45209</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45209</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45209</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45209</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45209</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45209</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45209</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45209</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45209</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45209</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45209</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45209</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45209</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45209</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45209</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45209</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45209</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45209</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45209</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45209</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45209</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45209</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45209</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45209</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45209</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45209</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45209</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45209</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45209</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45209</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45209</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45209</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45209</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45209</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45209</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45209</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45209</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45209</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45209</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45209</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45209</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45209</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45209</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45209</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45209</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45209</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45209</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45209</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45209</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45209</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45209</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45209</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45209</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45209</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45209</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45209</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45209</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45209</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45209</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45209</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45209</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45209</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45209</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45209</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45209</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45209</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45209</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45209</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45209</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45209</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45209</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45209</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45209</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45209</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45209</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45209</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45209</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45209</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45209</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45209</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45209</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45209</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45209</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45209</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45209</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45209</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45209</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45209</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45209</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45209</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45209</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45209</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45209</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45209</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45209</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45209</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45209</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45209</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45209</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45209</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45209</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45209</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45209</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45209</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45209</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45209</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45209</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45209</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45209</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45209</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45209</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45209</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45209</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45209</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45209</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45209</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45209</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45209</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45209</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45209</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45209</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45209</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45209</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45209</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45209</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45209</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45209</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45209</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45209</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45209</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45209</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45209</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45209</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45209</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45209</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45209</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45209</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45209</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45209</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45209</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45209</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45209</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45209</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45209</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45209</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45209</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45209</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45209</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45209</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45209</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45209</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45209</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45209</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45209</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45209</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45209</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45209</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45209</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45209</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45209</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45209</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45209</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45209</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45209</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45209</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45209</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45209</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45209</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45209</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45209</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45209</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45209</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45209</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45209</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45209</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45209</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45209</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45209</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45209</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45209</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45209</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45209</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45209</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45209</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45209</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45209</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45209</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45209</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45209</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45209</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45209</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45209</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45209</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45209</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45209</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45209</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45209</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45209</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45209</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45209</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45209</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45209</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45209</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45209</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45209</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45209</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45209</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45209</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45209</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45209</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45209</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45209</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45209</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45209</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45209</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45209</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45209</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45209</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45209</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45209</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45209</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45209</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45209</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45209</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45209</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45209</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45209</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45209</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45209</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45209</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45209</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45209</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45209</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45209</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45209</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45209</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45209</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45209</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45209</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45209</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45209</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45209</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45209</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45209</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45209</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45209</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45209</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45209</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45209</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45209</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45209</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45209</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45209</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45209</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45209</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45209</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45209</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45209</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45209</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45209</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45209</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45209</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45209</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45209</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45209</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45209</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45209</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45209</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45209</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45209</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45209</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45209</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45209</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45209</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45209</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45209</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45209</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45209</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45209</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45209</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45209</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45209</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45209</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45209</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45209</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45209</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45209</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45209</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45209</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45209</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45209</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45209</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45209</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45209</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45209</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45209</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45209</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45209</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45209</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45209</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45209</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45209</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45209</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45209</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45209</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45209</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45209</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45209</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45209</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45209</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45209</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45209</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45209</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45209</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45209</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45209</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45209</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45209</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45209</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45209</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45209</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45209</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45209</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45209</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45209</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45209</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45209</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45209</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45209</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45209</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45209</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45209</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45209</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45209</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45209</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45209</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45209</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45209</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45209</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45209</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45209</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45209</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45209</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45209</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45209</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45209</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45209</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45209</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45209</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45209</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45209</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45209</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45209</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45209</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45209</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45209</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45209</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45209</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46198-2021.png", "A 46198-2021")</f>
        <v/>
      </c>
      <c r="V3225">
        <f>HYPERLINK("https://klasma.github.io/Logging_2132/klagomål/A 46198-2021.docx", "A 46198-2021")</f>
        <v/>
      </c>
      <c r="W3225">
        <f>HYPERLINK("https://klasma.github.io/Logging_2132/klagomålsmail/A 46198-2021.docx", "A 46198-2021")</f>
        <v/>
      </c>
      <c r="X3225">
        <f>HYPERLINK("https://klasma.github.io/Logging_2132/tillsyn/A 46198-2021.docx", "A 46198-2021")</f>
        <v/>
      </c>
      <c r="Y3225">
        <f>HYPERLINK("https://klasma.github.io/Logging_2132/tillsynsmail/A 46198-2021.docx", "A 46198-2021")</f>
        <v/>
      </c>
    </row>
    <row r="3226" ht="15" customHeight="1">
      <c r="A3226" t="inlineStr">
        <is>
          <t>A 46549-2021</t>
        </is>
      </c>
      <c r="B3226" s="1" t="n">
        <v>44445</v>
      </c>
      <c r="C3226" s="1" t="n">
        <v>45209</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45209</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45209</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45209</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45209</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45209</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45209</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45209</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45209</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45209</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45209</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45209</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45209</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45209</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45209</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45209</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45209</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45209</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45209</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45209</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45209</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45209</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45209</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45209</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45209</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45209</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45209</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45209</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45209</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45209</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45209</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45209</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45209</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45209</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45209</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45209</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45209</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45209</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45209</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45209</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45209</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45209</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45209</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45209</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45209</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45209</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45209</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45209</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45209</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45209</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45209</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45209</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45209</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45209</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45209</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45209</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45209</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45209</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45209</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45209</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45209</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45209</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45209</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45209</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45209</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45209</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45209</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45209</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45209</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45209</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45209</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45209</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45209</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45209</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45209</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45209</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45209</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45209</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45209</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45209</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45209</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45209</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45209</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45209</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45209</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45209</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45209</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45209</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45209</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45209</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45209</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45209</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45209</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45209</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45209</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45209</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45209</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45209</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45209</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45209</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45209</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45209</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45209</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45209</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45209</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45209</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45209</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45209</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45209</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45209</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45209</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45209</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45209</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45209</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45209</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45209</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45209</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45209</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45209</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45209</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45209</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45209</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45209</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45209</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45209</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45209</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45209</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45209</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45209</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45209</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45209</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45209</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45209</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45209</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45209</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45209</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45209</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45209</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45209</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45209</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45209</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45209</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45209</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45209</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45209</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45209</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45209</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45209</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45209</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45209</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45209</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45209</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45209</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45209</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45209</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45209</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45209</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45209</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45209</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45209</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45209</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45209</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45209</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45209</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45209</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45209</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45209</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45209</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45209</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45209</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45209</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45209</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45209</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45209</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45209</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45209</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45209</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45209</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45209</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45209</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45209</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45209</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45209</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45209</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45209</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45209</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45209</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45209</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45209</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45209</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45209</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45209</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45209</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45209</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45209</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45209</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45209</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45209</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45209</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45209</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45209</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45209</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45209</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45209</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45209</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45209</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45209</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45209</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45209</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45209</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45209</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45209</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45209</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45209</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45209</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45209</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45209</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45209</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45209</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45209</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45209</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45209</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45209</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45209</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45209</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45209</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45209</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45209</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45209</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45209</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45209</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45209</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45209</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45209</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45209</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45209</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45209</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45209</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45209</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45209</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45209</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45209</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45209</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45209</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45209</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45209</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45209</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45209</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45209</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45209</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45209</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45209</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45209</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45209</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45209</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45209</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45209</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45209</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45209</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45209</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45209</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45209</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45209</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45209</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45209</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45209</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45209</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45209</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45209</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45209</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45209</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45209</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45209</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45209</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45209</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45209</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45209</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45209</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45209</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45209</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45209</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45209</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45209</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45209</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45209</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45209</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45209</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45209</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45209</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45209</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45209</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45209</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45209</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45209</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45209</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45209</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45209</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45209</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45209</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45209</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45209</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45209</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45209</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45209</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45209</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45209</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45209</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45209</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45209</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45209</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45209</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45209</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45209</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45209</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45209</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45209</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45209</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45209</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45209</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45209</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45209</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45209</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45209</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45209</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45209</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45209</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45209</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45209</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45209</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45209</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45209</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45209</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45209</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45209</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45209</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45209</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45209</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45209</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45209</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45209</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45209</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45209</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45209</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45209</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45209</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45209</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45209</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45209</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45209</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45209</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45209</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45209</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45209</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45209</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45209</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45209</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45209</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45209</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45209</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45209</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45209</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45209</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45209</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45209</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45209</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45209</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45209</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45209</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45209</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45209</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45209</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45209</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45209</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45209</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45209</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45209</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45209</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45209</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45209</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45209</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45209</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45209</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45209</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45209</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45209</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45209</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45209</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45209</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45209</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45209</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45209</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45209</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45209</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45209</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45209</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45209</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45209</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45209</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45209</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45209</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45209</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45209</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45209</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45209</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45209</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45209</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45209</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45209</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45209</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45209</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45209</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45209</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45209</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45209</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45209</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45209</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45209</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45209</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45209</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45209</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45209</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45209</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45209</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45209</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45209</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45209</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45209</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45209</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45209</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45209</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45209</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45209</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45209</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45209</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45209</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45209</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45209</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45209</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45209</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45209</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45209</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45209</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45209</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45209</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45209</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45209</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45209</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45209</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45209</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45209</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45209</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45209</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45209</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45209</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45209</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45209</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45209</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45209</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45209</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45209</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45209</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45209</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45209</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45209</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45209</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45209</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45209</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45209</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45209</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45209</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45209</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45209</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45209</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45209</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45209</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45209</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45209</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45209</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45209</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45209</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45209</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45209</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45209</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45209</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45209</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45209</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45209</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45209</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45209</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45209</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45209</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45209</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45209</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45209</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45209</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45209</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45209</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45209</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45209</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45209</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45209</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45209</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45209</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45209</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45209</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45209</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45209</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45209</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45209</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45209</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45209</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45209</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45209</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45209</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45209</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45209</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45209</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45209</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45209</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45209</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45209</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45209</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45209</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45209</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45209</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45209</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45209</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45209</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45209</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45209</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45209</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45209</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45209</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45209</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45209</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45209</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45209</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45209</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45209</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45209</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45209</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45209</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45209</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45209</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45209</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45209</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45209</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45209</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45209</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45209</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45209</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45209</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45209</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45209</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45209</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45209</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45209</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45209</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45209</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45209</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45209</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45209</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45209</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45209</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45209</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45209</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45209</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45209</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45209</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45209</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45209</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45209</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45209</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45209</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45209</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45209</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45209</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45209</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45209</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45209</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45209</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45209</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45209</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45209</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45209</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45209</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45209</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45209</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45209</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45209</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45209</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45209</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45209</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45209</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45209</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45209</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45209</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45209</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45209</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45209</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45209</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45209</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45209</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45209</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45209</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45209</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45209</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45209</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45209</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45209</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45209</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45209</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45209</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45209</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45209</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45209</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45209</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45209</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45209</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45209</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45209</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45209</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45209</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45209</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45209</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45209</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45209</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45209</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45209</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45209</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45209</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45209</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45209</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45209</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45209</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45209</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45209</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45209</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45209</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45209</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45209</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45209</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45209</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45209</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45209</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45209</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45209</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45209</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45209</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45209</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45209</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45209</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45209</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45209</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45209</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45209</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45209</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45209</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35523-2022.png", "A 35523-2022")</f>
        <v/>
      </c>
      <c r="V3883">
        <f>HYPERLINK("https://klasma.github.io/Logging_2181/klagomål/A 35523-2022.docx", "A 35523-2022")</f>
        <v/>
      </c>
      <c r="W3883">
        <f>HYPERLINK("https://klasma.github.io/Logging_2181/klagomålsmail/A 35523-2022.docx", "A 35523-2022")</f>
        <v/>
      </c>
      <c r="X3883">
        <f>HYPERLINK("https://klasma.github.io/Logging_2181/tillsyn/A 35523-2022.docx", "A 35523-2022")</f>
        <v/>
      </c>
      <c r="Y3883">
        <f>HYPERLINK("https://klasma.github.io/Logging_2181/tillsynsmail/A 35523-2022.docx", "A 35523-2022")</f>
        <v/>
      </c>
    </row>
    <row r="3884" ht="15" customHeight="1">
      <c r="A3884" t="inlineStr">
        <is>
          <t>A 35583-2022</t>
        </is>
      </c>
      <c r="B3884" s="1" t="n">
        <v>44799</v>
      </c>
      <c r="C3884" s="1" t="n">
        <v>45209</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45209</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35739-2022.png", "A 35739-2022")</f>
        <v/>
      </c>
      <c r="V3885">
        <f>HYPERLINK("https://klasma.github.io/Logging_2121/klagomål/A 35739-2022.docx", "A 35739-2022")</f>
        <v/>
      </c>
      <c r="W3885">
        <f>HYPERLINK("https://klasma.github.io/Logging_2121/klagomålsmail/A 35739-2022.docx", "A 35739-2022")</f>
        <v/>
      </c>
      <c r="X3885">
        <f>HYPERLINK("https://klasma.github.io/Logging_2121/tillsyn/A 35739-2022.docx", "A 35739-2022")</f>
        <v/>
      </c>
      <c r="Y3885">
        <f>HYPERLINK("https://klasma.github.io/Logging_2121/tillsynsmail/A 35739-2022.docx", "A 35739-2022")</f>
        <v/>
      </c>
    </row>
    <row r="3886" ht="15" customHeight="1">
      <c r="A3886" t="inlineStr">
        <is>
          <t>A 35762-2022</t>
        </is>
      </c>
      <c r="B3886" s="1" t="n">
        <v>44800</v>
      </c>
      <c r="C3886" s="1" t="n">
        <v>45209</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45209</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45209</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45209</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45209</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45209</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45209</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45209</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45209</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45209</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45209</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45209</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45209</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45209</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45209</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45209</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45209</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45209</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45209</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45209</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45209</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45209</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45209</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45209</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45209</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45209</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45209</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45209</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45209</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45209</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45209</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45209</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45209</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45209</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45209</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45209</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45209</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45209</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45209</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45209</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45209</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45209</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45209</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45209</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45209</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45209</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45209</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45209</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45209</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45209</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45209</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45209</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45209</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45209</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45209</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45209</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45209</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45209</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45209</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45209</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45209</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45209</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45209</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45209</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45209</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45209</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45209</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45209</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45209</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45209</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45209</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45209</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45209</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45209</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45209</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45209</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45209</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45209</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45209</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45209</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45209</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45209</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45209</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45209</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45209</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45209</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45209</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45209</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45209</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45209</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45209</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45209</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45209</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45209</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45209</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45209</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45209</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45209</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45209</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45209</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45209</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45209</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45209</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45209</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45209</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45209</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45209</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45209</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45209</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45209</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45209</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45209</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45209</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45209</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45209</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45209</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45209</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45209</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45209</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45209</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45209</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45209</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45209</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45209</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45209</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45209</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45209</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45209</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45209</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45209</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45209</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45209</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45209</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45209</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45209</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45209</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45209</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45209</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45209</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45209</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45209</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45209</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45209</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45209</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45209</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45209</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45209</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45209</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45209</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45209</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45209</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45209</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45209</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45209</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45209</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45209</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45209</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45209</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45209</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45209</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45209</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45209</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45209</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45209</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45209</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45209</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45209</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45209</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45209</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45209</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45209</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45209</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45209</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45209</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45209</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45209</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45209</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45209</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45209</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45209</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45209</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45209</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45209</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45209</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45209</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45209</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45209</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45209</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45209</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45209</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45209</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45209</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45209</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45209</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45209</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45209</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45209</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45209</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45209</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45209</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45209</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45209</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45209</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45209</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45209</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45209</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45209</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45209</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45209</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45209</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45209</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45209</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45209</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45209</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45209</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45209</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45209</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45209</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45209</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45209</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45209</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45209</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45209</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45209</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45209</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45209</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45209</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45209</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45209</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45209</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45209</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45209</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45209</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45209</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45209</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45209</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45209</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45209</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45209</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45209</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45209</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45209</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45209</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45209</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45209</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45209</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45209</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45209</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45209</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45209</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45209</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45209</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45209</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45209</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45209</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45209</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45209</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45209</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45209</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45209</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45209</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45209</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45209</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45209</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45209</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45209</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45209</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45209</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45209</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45209</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45209</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45209</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45209</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45209</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45209</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45209</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45209</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45209</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45209</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45209</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45209</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45209</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45209</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45209</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45209</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45209</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45209</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45209</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45209</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45209</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55253-2022.png", "A 55253-2022")</f>
        <v/>
      </c>
      <c r="V4175">
        <f>HYPERLINK("https://klasma.github.io/Logging_2184/klagomål/A 55253-2022.docx", "A 55253-2022")</f>
        <v/>
      </c>
      <c r="W4175">
        <f>HYPERLINK("https://klasma.github.io/Logging_2184/klagomålsmail/A 55253-2022.docx", "A 55253-2022")</f>
        <v/>
      </c>
      <c r="X4175">
        <f>HYPERLINK("https://klasma.github.io/Logging_2184/tillsyn/A 55253-2022.docx", "A 55253-2022")</f>
        <v/>
      </c>
      <c r="Y4175">
        <f>HYPERLINK("https://klasma.github.io/Logging_2184/tillsynsmail/A 55253-2022.docx", "A 55253-2022")</f>
        <v/>
      </c>
    </row>
    <row r="4176" ht="15" customHeight="1">
      <c r="A4176" t="inlineStr">
        <is>
          <t>A 55422-2022</t>
        </is>
      </c>
      <c r="B4176" s="1" t="n">
        <v>44887</v>
      </c>
      <c r="C4176" s="1" t="n">
        <v>45209</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45209</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45209</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45209</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45209</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45209</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45209</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45209</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45209</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45209</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45209</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45209</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45209</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45209</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45209</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45209</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45209</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45209</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45209</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45209</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45209</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45209</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45209</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45209</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45209</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45209</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45209</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45209</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45209</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45209</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45209</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45209</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45209</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45209</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45209</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45209</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45209</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45209</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45209</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45209</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45209</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45209</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45209</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45209</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45209</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45209</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45209</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45209</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45209</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45209</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45209</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45209</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45209</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45209</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58796-2022.png", "A 58796-2022")</f>
        <v/>
      </c>
      <c r="V4229">
        <f>HYPERLINK("https://klasma.github.io/Logging_2161/klagomål/A 58796-2022.docx", "A 58796-2022")</f>
        <v/>
      </c>
      <c r="W4229">
        <f>HYPERLINK("https://klasma.github.io/Logging_2161/klagomålsmail/A 58796-2022.docx", "A 58796-2022")</f>
        <v/>
      </c>
      <c r="X4229">
        <f>HYPERLINK("https://klasma.github.io/Logging_2161/tillsyn/A 58796-2022.docx", "A 58796-2022")</f>
        <v/>
      </c>
      <c r="Y4229">
        <f>HYPERLINK("https://klasma.github.io/Logging_2161/tillsynsmail/A 58796-2022.docx", "A 58796-2022")</f>
        <v/>
      </c>
    </row>
    <row r="4230" ht="15" customHeight="1">
      <c r="A4230" t="inlineStr">
        <is>
          <t>A 58815-2022</t>
        </is>
      </c>
      <c r="B4230" s="1" t="n">
        <v>44903</v>
      </c>
      <c r="C4230" s="1" t="n">
        <v>45209</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45209</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45209</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45209</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45209</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45209</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45209</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45209</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45209</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45209</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45209</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45209</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45209</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45209</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45209</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45209</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45209</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45209</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45209</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45209</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45209</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45209</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45209</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45209</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45209</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45209</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45209</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45209</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45209</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45209</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45209</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45209</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45209</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45209</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45209</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45209</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45209</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45209</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45209</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45209</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45209</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45209</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45209</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45209</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45209</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45209</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45209</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45209</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45209</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45209</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45209</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45209</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45209</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45209</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45209</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45209</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45209</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45209</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45209</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45209</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45209</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45209</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45209</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45209</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45209</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45209</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45209</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45209</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45209</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45209</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45209</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45209</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45209</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45209</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45209</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45209</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45209</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45209</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45209</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45209</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45209</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45209</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45209</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45209</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45209</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45209</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45209</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45209</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45209</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45209</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45209</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45209</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45209</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45209</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45209</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45209</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45209</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45209</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45209</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45209</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45209</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45209</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45209</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45209</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45209</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45209</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45209</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45209</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45209</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45209</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45209</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45209</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45209</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45209</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45209</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45209</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45209</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45209</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45209</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45209</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45209</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45209</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45209</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45209</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45209</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45209</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45209</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45209</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45209</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45209</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45209</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45209</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45209</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45209</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45209</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45209</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45209</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45209</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45209</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45209</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45209</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45209</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45209</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45209</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45209</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45209</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45209</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45209</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45209</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45209</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45209</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45209</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45209</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45209</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45209</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45209</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45209</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45209</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45209</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45209</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45209</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45209</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45209</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45209</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45209</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45209</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45209</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45209</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45209</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45209</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45209</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45209</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45209</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45209</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45209</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45209</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45209</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45209</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45209</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45209</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45209</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45209</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45209</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45209</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45209</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45209</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45209</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45209</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45209</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45209</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45209</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45209</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45209</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45209</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45209</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45209</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45209</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45209</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45209</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45209</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45209</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45209</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45209</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45209</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45209</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45209</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45209</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45209</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45209</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45209</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45209</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45209</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45209</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45209</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45209</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45209</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45209</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45209</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45209</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45209</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45209</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45209</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45209</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45209</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45209</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45209</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45209</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45209</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45209</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45209</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45209</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45209</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45209</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45209</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45209</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45209</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45209</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45209</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45209</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45209</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45209</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45209</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45209</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45209</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45209</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45209</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45209</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45209</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45209</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45209</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45209</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45209</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45209</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45209</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45209</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45209</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45209</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45209</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45209</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45209</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45209</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45209</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45209</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45209</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45209</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45209</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45209</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45209</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45209</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45209</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45209</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45209</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45209</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45209</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45209</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45209</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45209</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45209</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45209</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45209</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45209</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45209</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45209</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45209</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45209</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45209</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45209</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45209</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45209</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45209</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45209</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45209</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45209</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45209</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45209</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45209</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45209</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45209</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45209</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45209</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45209</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45209</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45209</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45209</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45209</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45209</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45209</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45209</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45209</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45209</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45209</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45209</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45209</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45209</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45209</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45209</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45209</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45209</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45209</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45209</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45209</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45209</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45209</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45209</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45209</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45209</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45209</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45209</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45209</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45209</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45209</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45209</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45209</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45209</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45209</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45209</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45209</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15883-2023.png", "A 15883-2023")</f>
        <v/>
      </c>
      <c r="V4566">
        <f>HYPERLINK("https://klasma.github.io/Logging_2184/klagomål/A 15883-2023.docx", "A 15883-2023")</f>
        <v/>
      </c>
      <c r="W4566">
        <f>HYPERLINK("https://klasma.github.io/Logging_2184/klagomålsmail/A 15883-2023.docx", "A 15883-2023")</f>
        <v/>
      </c>
      <c r="X4566">
        <f>HYPERLINK("https://klasma.github.io/Logging_2184/tillsyn/A 15883-2023.docx", "A 15883-2023")</f>
        <v/>
      </c>
      <c r="Y4566">
        <f>HYPERLINK("https://klasma.github.io/Logging_2184/tillsynsmail/A 15883-2023.docx", "A 15883-2023")</f>
        <v/>
      </c>
    </row>
    <row r="4567" ht="15" customHeight="1">
      <c r="A4567" t="inlineStr">
        <is>
          <t>A 16242-2023</t>
        </is>
      </c>
      <c r="B4567" s="1" t="n">
        <v>45022</v>
      </c>
      <c r="C4567" s="1" t="n">
        <v>45209</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45209</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45209</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45209</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45209</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45209</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45209</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45209</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45209</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45209</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45209</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45209</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45209</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45209</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45209</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45209</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45209</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45209</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45209</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45209</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45209</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45209</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45209</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45209</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45209</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45209</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45209</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45209</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45209</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45209</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45209</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45209</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45209</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45209</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45209</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45209</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45209</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45209</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45209</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45209</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45209</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45209</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45209</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45209</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45209</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45209</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45209</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45209</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45209</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45209</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45209</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45209</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45209</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45209</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45209</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45209</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45209</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45209</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45209</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45209</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45209</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45209</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45209</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45209</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45209</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45209</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45209</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45209</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45209</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45209</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45209</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45209</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45209</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45209</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45209</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45209</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45209</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45209</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45209</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45209</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45209</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45209</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45209</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45209</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45209</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45209</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45209</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45209</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45209</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45209</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45209</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45209</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45209</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45209</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45209</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45209</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45209</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45209</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45209</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45209</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45209</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45209</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45209</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45209</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45209</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45209</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45209</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45209</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45209</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45209</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45209</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45209</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45209</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45209</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45209</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45209</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45209</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45209</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45209</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45209</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45209</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45209</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45209</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45209</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45209</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45209</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45209</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45209</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45209</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45209</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45209</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45209</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45209</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45209</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45209</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45209</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45209</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45209</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45209</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45209</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45209</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45209</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45209</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45209</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45209</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45209</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45209</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45209</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45209</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45209</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45209</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45209</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45209</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45209</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45209</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45209</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45209</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45209</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45209</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45209</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45209</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45209</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45209</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45209</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45209</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45209</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45209</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45209</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45209</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45209</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45209</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45209</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45209</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45209</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45209</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45209</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45209</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45209</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45209</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45209</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45209</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45209</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45209</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45209</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45209</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45209</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45209</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45209</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45209</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45209</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45209</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45209</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45209</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45209</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45209</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45209</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45209</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45209</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45209</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45209</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45209</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45209</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45209</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45209</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45209</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45209</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45209</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45209</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45209</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45209</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45209</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45209</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45209</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45209</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45209</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45209</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45209</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45209</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45209</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45209</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45209</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45209</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45209</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45209</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45209</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45209</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45209</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45209</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45209</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45209</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45209</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45209</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23787-2023.png", "A 23787-2023")</f>
        <v/>
      </c>
      <c r="V4798">
        <f>HYPERLINK("https://klasma.github.io/Logging_2184/klagomål/A 23787-2023.docx", "A 23787-2023")</f>
        <v/>
      </c>
      <c r="W4798">
        <f>HYPERLINK("https://klasma.github.io/Logging_2184/klagomålsmail/A 23787-2023.docx", "A 23787-2023")</f>
        <v/>
      </c>
      <c r="X4798">
        <f>HYPERLINK("https://klasma.github.io/Logging_2184/tillsyn/A 23787-2023.docx", "A 23787-2023")</f>
        <v/>
      </c>
      <c r="Y4798">
        <f>HYPERLINK("https://klasma.github.io/Logging_2184/tillsynsmail/A 23787-2023.docx", "A 23787-2023")</f>
        <v/>
      </c>
    </row>
    <row r="4799" ht="15" customHeight="1">
      <c r="A4799" t="inlineStr">
        <is>
          <t>A 23846-2023</t>
        </is>
      </c>
      <c r="B4799" s="1" t="n">
        <v>45078</v>
      </c>
      <c r="C4799" s="1" t="n">
        <v>45209</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45209</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45209</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45209</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45209</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45209</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45209</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45209</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45209</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45209</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45209</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45209</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45209</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45209</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45209</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45209</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45209</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45209</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45209</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45209</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45209</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45209</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45209</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45209</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45209</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45209</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45209</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45209</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45209</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45209</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45209</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45209</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45209</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45209</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45209</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45209</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45209</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45209</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45209</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45209</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45209</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45209</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45209</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45209</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45209</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45209</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45209</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45209</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45209</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45209</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45209</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45209</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45209</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45209</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45209</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45209</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45209</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45209</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45209</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45209</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45209</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45209</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45209</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45209</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45209</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45209</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45209</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45209</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45209</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45209</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45209</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45209</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45209</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45209</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45209</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45209</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45209</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45209</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45209</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45209</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45209</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45209</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45209</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45209</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45209</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45209</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45209</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45209</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45209</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45209</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45209</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45209</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45209</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45209</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45209</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45209</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45209</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45209</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45209</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45209</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45209</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45209</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45209</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45209</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45209</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45209</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45209</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45209</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45209</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45209</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45209</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45209</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45209</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45209</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45209</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45209</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45209</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45209</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45209</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45209</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45209</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45209</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45209</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45209</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45209</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45209</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45209</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45209</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45209</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45209</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45209</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45209</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45209</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45209</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45209</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45209</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45209</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45209</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45209</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45209</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45209</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45209</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45209</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45209</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45209</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45209</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45209</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45209</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45209</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45209</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45209</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45209</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45209</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45209</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45209</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45209</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45209</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45209</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45209</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45209</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45209</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45209</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45209</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45209</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45209</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45209</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45209</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45209</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45209</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45209</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45209</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45209</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45209</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45209</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45209</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45209</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45209</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45209</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45209</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45209</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45209</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45209</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45209</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45209</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45209</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45209</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45209</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45209</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45209</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45209</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45209</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45209</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45209</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45209</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45209</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45209</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45209</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45209</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45209</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45209</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45209</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45209</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45209</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45209</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45209</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45209</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45209</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45209</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45209</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45209</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45209</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45209</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45209</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45209</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45209</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45209</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45209</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45209</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45209</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45209</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45209</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45209</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45209</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45209</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45209</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45209</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45209</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45209</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45209</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45209</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45209</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45209</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45209</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45209</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45209</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45209</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45209</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45209</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45209</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45209</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45209</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45209</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45209</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45209</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45209</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45209</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45209</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45209</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45209</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45209</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45209</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45209</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45209</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45209</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45209</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45209</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45209</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45209</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45209</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45209</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45209</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45209</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45209</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45209</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45209</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45209</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45209</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45209</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45209</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45209</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45209</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45209</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45209</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45209</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45209</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45209</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45209</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45209</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45209</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45209</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45209</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45209</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45209</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45209</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45209</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45209</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45209</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45209</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45209</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45209</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45209</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45209</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45209</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45209</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45209</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45209</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45209</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45209</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45209</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45209</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45209</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45209</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45209</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45209</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45209</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45209</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45209</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45209</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2023-10-10T06:16:43Z</dcterms:created>
  <dcterms:modified xmlns:dcterms="http://purl.org/dc/terms/" xmlns:xsi="http://www.w3.org/2001/XMLSchema-instance" xsi:type="dcterms:W3CDTF">2023-10-10T06:16:45Z</dcterms:modified>
</cp:coreProperties>
</file>