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45213</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1702-2023</t>
        </is>
      </c>
      <c r="B3" s="1" t="n">
        <v>44938</v>
      </c>
      <c r="C3" s="1" t="n">
        <v>45213</v>
      </c>
      <c r="D3" t="inlineStr">
        <is>
          <t>GOTLANDS LÄN</t>
        </is>
      </c>
      <c r="E3" t="inlineStr">
        <is>
          <t>GOTLAND</t>
        </is>
      </c>
      <c r="G3" t="n">
        <v>3.7</v>
      </c>
      <c r="H3" t="n">
        <v>3</v>
      </c>
      <c r="I3" t="n">
        <v>9</v>
      </c>
      <c r="J3" t="n">
        <v>3</v>
      </c>
      <c r="K3" t="n">
        <v>3</v>
      </c>
      <c r="L3" t="n">
        <v>0</v>
      </c>
      <c r="M3" t="n">
        <v>0</v>
      </c>
      <c r="N3" t="n">
        <v>0</v>
      </c>
      <c r="O3" t="n">
        <v>6</v>
      </c>
      <c r="P3" t="n">
        <v>3</v>
      </c>
      <c r="Q3" t="n">
        <v>18</v>
      </c>
      <c r="R3"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3">
        <f>HYPERLINK("https://klasma.github.io/Logging_0980/artfynd/A 1702-2023 artfynd.xlsx", "A 1702-2023")</f>
        <v/>
      </c>
      <c r="T3">
        <f>HYPERLINK("https://klasma.github.io/Logging_0980/kartor/A 1702-2023 karta.png", "A 1702-2023")</f>
        <v/>
      </c>
      <c r="V3">
        <f>HYPERLINK("https://klasma.github.io/Logging_0980/klagomål/A 1702-2023 FSC-klagomål.docx", "A 1702-2023")</f>
        <v/>
      </c>
      <c r="W3">
        <f>HYPERLINK("https://klasma.github.io/Logging_0980/klagomålsmail/A 1702-2023 FSC-klagomål mail.docx", "A 1702-2023")</f>
        <v/>
      </c>
      <c r="X3">
        <f>HYPERLINK("https://klasma.github.io/Logging_0980/tillsyn/A 1702-2023 tillsynsbegäran.docx", "A 1702-2023")</f>
        <v/>
      </c>
      <c r="Y3">
        <f>HYPERLINK("https://klasma.github.io/Logging_0980/tillsynsmail/A 1702-2023 tillsynsbegäran mail.docx", "A 1702-2023")</f>
        <v/>
      </c>
    </row>
    <row r="4" ht="15" customHeight="1">
      <c r="A4" t="inlineStr">
        <is>
          <t>A 1684-2023</t>
        </is>
      </c>
      <c r="B4" s="1" t="n">
        <v>44938</v>
      </c>
      <c r="C4" s="1" t="n">
        <v>45213</v>
      </c>
      <c r="D4" t="inlineStr">
        <is>
          <t>GOTLANDS LÄN</t>
        </is>
      </c>
      <c r="E4" t="inlineStr">
        <is>
          <t>GOTLAND</t>
        </is>
      </c>
      <c r="G4" t="n">
        <v>23.3</v>
      </c>
      <c r="H4" t="n">
        <v>2</v>
      </c>
      <c r="I4" t="n">
        <v>8</v>
      </c>
      <c r="J4" t="n">
        <v>3</v>
      </c>
      <c r="K4" t="n">
        <v>1</v>
      </c>
      <c r="L4" t="n">
        <v>1</v>
      </c>
      <c r="M4" t="n">
        <v>2</v>
      </c>
      <c r="N4" t="n">
        <v>0</v>
      </c>
      <c r="O4" t="n">
        <v>7</v>
      </c>
      <c r="P4" t="n">
        <v>4</v>
      </c>
      <c r="Q4" t="n">
        <v>17</v>
      </c>
      <c r="R4" s="2" t="inlineStr">
        <is>
          <t>Cinnoberfläck
Frostfläck
Ädellav
Mörk kraterlav
Loppstarr
Mjölmusseron
Odörspindling
Anisspindling
Besk kastanjemusseron
Havstulpanlav
Kattfotslav
Korallblylav
Murgröna
Rikfruktig blemlav
Västlig hakmossa
Brudsporre
Kärrknipprot</t>
        </is>
      </c>
      <c r="S4">
        <f>HYPERLINK("https://klasma.github.io/Logging_0980/artfynd/A 1684-2023 artfynd.xlsx", "A 1684-2023")</f>
        <v/>
      </c>
      <c r="T4">
        <f>HYPERLINK("https://klasma.github.io/Logging_0980/kartor/A 1684-2023 karta.png", "A 1684-2023")</f>
        <v/>
      </c>
      <c r="V4">
        <f>HYPERLINK("https://klasma.github.io/Logging_0980/klagomål/A 1684-2023 FSC-klagomål.docx", "A 1684-2023")</f>
        <v/>
      </c>
      <c r="W4">
        <f>HYPERLINK("https://klasma.github.io/Logging_0980/klagomålsmail/A 1684-2023 FSC-klagomål mail.docx", "A 1684-2023")</f>
        <v/>
      </c>
      <c r="X4">
        <f>HYPERLINK("https://klasma.github.io/Logging_0980/tillsyn/A 1684-2023 tillsynsbegäran.docx", "A 1684-2023")</f>
        <v/>
      </c>
      <c r="Y4">
        <f>HYPERLINK("https://klasma.github.io/Logging_0980/tillsynsmail/A 1684-2023 tillsynsbegäran mail.docx", "A 1684-2023")</f>
        <v/>
      </c>
    </row>
    <row r="5" ht="15" customHeight="1">
      <c r="A5" t="inlineStr">
        <is>
          <t>A 1836-2023</t>
        </is>
      </c>
      <c r="B5" s="1" t="n">
        <v>44938</v>
      </c>
      <c r="C5" s="1" t="n">
        <v>45213</v>
      </c>
      <c r="D5" t="inlineStr">
        <is>
          <t>GOTLANDS LÄN</t>
        </is>
      </c>
      <c r="E5" t="inlineStr">
        <is>
          <t>GOTLAND</t>
        </is>
      </c>
      <c r="G5" t="n">
        <v>14.3</v>
      </c>
      <c r="H5" t="n">
        <v>0</v>
      </c>
      <c r="I5" t="n">
        <v>7</v>
      </c>
      <c r="J5" t="n">
        <v>4</v>
      </c>
      <c r="K5" t="n">
        <v>5</v>
      </c>
      <c r="L5" t="n">
        <v>1</v>
      </c>
      <c r="M5" t="n">
        <v>0</v>
      </c>
      <c r="N5" t="n">
        <v>0</v>
      </c>
      <c r="O5" t="n">
        <v>10</v>
      </c>
      <c r="P5" t="n">
        <v>6</v>
      </c>
      <c r="Q5" t="n">
        <v>17</v>
      </c>
      <c r="R5"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5">
        <f>HYPERLINK("https://klasma.github.io/Logging_0980/artfynd/A 1836-2023 artfynd.xlsx", "A 1836-2023")</f>
        <v/>
      </c>
      <c r="T5">
        <f>HYPERLINK("https://klasma.github.io/Logging_0980/kartor/A 1836-2023 karta.png", "A 1836-2023")</f>
        <v/>
      </c>
      <c r="V5">
        <f>HYPERLINK("https://klasma.github.io/Logging_0980/klagomål/A 1836-2023 FSC-klagomål.docx", "A 1836-2023")</f>
        <v/>
      </c>
      <c r="W5">
        <f>HYPERLINK("https://klasma.github.io/Logging_0980/klagomålsmail/A 1836-2023 FSC-klagomål mail.docx", "A 1836-2023")</f>
        <v/>
      </c>
      <c r="X5">
        <f>HYPERLINK("https://klasma.github.io/Logging_0980/tillsyn/A 1836-2023 tillsynsbegäran.docx", "A 1836-2023")</f>
        <v/>
      </c>
      <c r="Y5">
        <f>HYPERLINK("https://klasma.github.io/Logging_0980/tillsynsmail/A 1836-2023 tillsynsbegäran mail.docx", "A 1836-2023")</f>
        <v/>
      </c>
    </row>
    <row r="6" ht="15" customHeight="1">
      <c r="A6" t="inlineStr">
        <is>
          <t>A 58474-2022</t>
        </is>
      </c>
      <c r="B6" s="1" t="n">
        <v>44902</v>
      </c>
      <c r="C6" s="1" t="n">
        <v>45213</v>
      </c>
      <c r="D6" t="inlineStr">
        <is>
          <t>GOTLANDS LÄN</t>
        </is>
      </c>
      <c r="E6" t="inlineStr">
        <is>
          <t>GOTLAND</t>
        </is>
      </c>
      <c r="G6" t="n">
        <v>10.3</v>
      </c>
      <c r="H6" t="n">
        <v>1</v>
      </c>
      <c r="I6" t="n">
        <v>9</v>
      </c>
      <c r="J6" t="n">
        <v>2</v>
      </c>
      <c r="K6" t="n">
        <v>2</v>
      </c>
      <c r="L6" t="n">
        <v>1</v>
      </c>
      <c r="M6" t="n">
        <v>0</v>
      </c>
      <c r="N6" t="n">
        <v>0</v>
      </c>
      <c r="O6" t="n">
        <v>5</v>
      </c>
      <c r="P6" t="n">
        <v>3</v>
      </c>
      <c r="Q6" t="n">
        <v>15</v>
      </c>
      <c r="R6" s="2" t="inlineStr">
        <is>
          <t>Ädellav
Mörk kraterlav
Skogskorn
Flattoppad klubbsvamp
Odörspindling
Anisspindling
Diskvaxskivling
Havstulpanlav
Murgröna
Rikfruktig blemlav
Rödgul trumpetsvamp
Skuggsprötmossa
Svavelriska
Västlig hakmossa
Fläcknycklar</t>
        </is>
      </c>
      <c r="S6">
        <f>HYPERLINK("https://klasma.github.io/Logging_0980/artfynd/A 58474-2022 artfynd.xlsx", "A 58474-2022")</f>
        <v/>
      </c>
      <c r="T6">
        <f>HYPERLINK("https://klasma.github.io/Logging_0980/kartor/A 58474-2022 karta.png", "A 58474-2022")</f>
        <v/>
      </c>
      <c r="V6">
        <f>HYPERLINK("https://klasma.github.io/Logging_0980/klagomål/A 58474-2022 FSC-klagomål.docx", "A 58474-2022")</f>
        <v/>
      </c>
      <c r="W6">
        <f>HYPERLINK("https://klasma.github.io/Logging_0980/klagomålsmail/A 58474-2022 FSC-klagomål mail.docx", "A 58474-2022")</f>
        <v/>
      </c>
      <c r="X6">
        <f>HYPERLINK("https://klasma.github.io/Logging_0980/tillsyn/A 58474-2022 tillsynsbegäran.docx", "A 58474-2022")</f>
        <v/>
      </c>
      <c r="Y6">
        <f>HYPERLINK("https://klasma.github.io/Logging_0980/tillsynsmail/A 58474-2022 tillsynsbegäran mail.docx", "A 58474-2022")</f>
        <v/>
      </c>
    </row>
    <row r="7" ht="15" customHeight="1">
      <c r="A7" t="inlineStr">
        <is>
          <t>A 24202-2023</t>
        </is>
      </c>
      <c r="B7" s="1" t="n">
        <v>45079</v>
      </c>
      <c r="C7" s="1" t="n">
        <v>45213</v>
      </c>
      <c r="D7" t="inlineStr">
        <is>
          <t>GOTLANDS LÄN</t>
        </is>
      </c>
      <c r="E7" t="inlineStr">
        <is>
          <t>GOTLAND</t>
        </is>
      </c>
      <c r="G7" t="n">
        <v>2.5</v>
      </c>
      <c r="H7" t="n">
        <v>0</v>
      </c>
      <c r="I7" t="n">
        <v>10</v>
      </c>
      <c r="J7" t="n">
        <v>2</v>
      </c>
      <c r="K7" t="n">
        <v>3</v>
      </c>
      <c r="L7" t="n">
        <v>0</v>
      </c>
      <c r="M7" t="n">
        <v>0</v>
      </c>
      <c r="N7" t="n">
        <v>0</v>
      </c>
      <c r="O7" t="n">
        <v>5</v>
      </c>
      <c r="P7" t="n">
        <v>3</v>
      </c>
      <c r="Q7" t="n">
        <v>15</v>
      </c>
      <c r="R7"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7">
        <f>HYPERLINK("https://klasma.github.io/Logging_0980/artfynd/A 24202-2023 artfynd.xlsx", "A 24202-2023")</f>
        <v/>
      </c>
      <c r="T7">
        <f>HYPERLINK("https://klasma.github.io/Logging_0980/kartor/A 24202-2023 karta.png", "A 24202-2023")</f>
        <v/>
      </c>
      <c r="V7">
        <f>HYPERLINK("https://klasma.github.io/Logging_0980/klagomål/A 24202-2023 FSC-klagomål.docx", "A 24202-2023")</f>
        <v/>
      </c>
      <c r="W7">
        <f>HYPERLINK("https://klasma.github.io/Logging_0980/klagomålsmail/A 24202-2023 FSC-klagomål mail.docx", "A 24202-2023")</f>
        <v/>
      </c>
      <c r="X7">
        <f>HYPERLINK("https://klasma.github.io/Logging_0980/tillsyn/A 24202-2023 tillsynsbegäran.docx", "A 24202-2023")</f>
        <v/>
      </c>
      <c r="Y7">
        <f>HYPERLINK("https://klasma.github.io/Logging_0980/tillsynsmail/A 24202-2023 tillsynsbegäran mail.docx", "A 24202-2023")</f>
        <v/>
      </c>
    </row>
    <row r="8" ht="15" customHeight="1">
      <c r="A8" t="inlineStr">
        <is>
          <t>A 25779-2022</t>
        </is>
      </c>
      <c r="B8" s="1" t="n">
        <v>44733</v>
      </c>
      <c r="C8" s="1" t="n">
        <v>45213</v>
      </c>
      <c r="D8" t="inlineStr">
        <is>
          <t>GOTLANDS LÄN</t>
        </is>
      </c>
      <c r="E8" t="inlineStr">
        <is>
          <t>GOTLAND</t>
        </is>
      </c>
      <c r="G8" t="n">
        <v>12.6</v>
      </c>
      <c r="H8" t="n">
        <v>4</v>
      </c>
      <c r="I8" t="n">
        <v>8</v>
      </c>
      <c r="J8" t="n">
        <v>3</v>
      </c>
      <c r="K8" t="n">
        <v>3</v>
      </c>
      <c r="L8" t="n">
        <v>0</v>
      </c>
      <c r="M8" t="n">
        <v>0</v>
      </c>
      <c r="N8" t="n">
        <v>0</v>
      </c>
      <c r="O8" t="n">
        <v>6</v>
      </c>
      <c r="P8" t="n">
        <v>3</v>
      </c>
      <c r="Q8" t="n">
        <v>14</v>
      </c>
      <c r="R8" s="2" t="inlineStr">
        <is>
          <t>Duvspindling
Knärot
Ruttaggsvamp
Jordtistel
Odörspindling
Svart taggsvamp
Nästrot
Rödgul trumpetsvamp
Skogsknipprot
Strimspindling
Strävlosta
Svavelriska
Vit skogslilja
Zontaggsvamp</t>
        </is>
      </c>
      <c r="S8">
        <f>HYPERLINK("https://klasma.github.io/Logging_0980/artfynd/A 25779-2022 artfynd.xlsx", "A 25779-2022")</f>
        <v/>
      </c>
      <c r="T8">
        <f>HYPERLINK("https://klasma.github.io/Logging_0980/kartor/A 25779-2022 karta.png", "A 25779-2022")</f>
        <v/>
      </c>
      <c r="U8">
        <f>HYPERLINK("https://klasma.github.io/Logging_0980/knärot/A 25779-2022 karta knärot.png", "A 25779-2022")</f>
        <v/>
      </c>
      <c r="V8">
        <f>HYPERLINK("https://klasma.github.io/Logging_0980/klagomål/A 25779-2022 FSC-klagomål.docx", "A 25779-2022")</f>
        <v/>
      </c>
      <c r="W8">
        <f>HYPERLINK("https://klasma.github.io/Logging_0980/klagomålsmail/A 25779-2022 FSC-klagomål mail.docx", "A 25779-2022")</f>
        <v/>
      </c>
      <c r="X8">
        <f>HYPERLINK("https://klasma.github.io/Logging_0980/tillsyn/A 25779-2022 tillsynsbegäran.docx", "A 25779-2022")</f>
        <v/>
      </c>
      <c r="Y8">
        <f>HYPERLINK("https://klasma.github.io/Logging_0980/tillsynsmail/A 25779-2022 tillsynsbegäran mail.docx", "A 25779-2022")</f>
        <v/>
      </c>
    </row>
    <row r="9" ht="15" customHeight="1">
      <c r="A9" t="inlineStr">
        <is>
          <t>A 569-2023</t>
        </is>
      </c>
      <c r="B9" s="1" t="n">
        <v>44930</v>
      </c>
      <c r="C9" s="1" t="n">
        <v>45213</v>
      </c>
      <c r="D9" t="inlineStr">
        <is>
          <t>GOTLANDS LÄN</t>
        </is>
      </c>
      <c r="E9" t="inlineStr">
        <is>
          <t>GOTLAND</t>
        </is>
      </c>
      <c r="G9" t="n">
        <v>12.8</v>
      </c>
      <c r="H9" t="n">
        <v>1</v>
      </c>
      <c r="I9" t="n">
        <v>5</v>
      </c>
      <c r="J9" t="n">
        <v>4</v>
      </c>
      <c r="K9" t="n">
        <v>5</v>
      </c>
      <c r="L9" t="n">
        <v>0</v>
      </c>
      <c r="M9" t="n">
        <v>0</v>
      </c>
      <c r="N9" t="n">
        <v>0</v>
      </c>
      <c r="O9" t="n">
        <v>9</v>
      </c>
      <c r="P9" t="n">
        <v>5</v>
      </c>
      <c r="Q9" t="n">
        <v>14</v>
      </c>
      <c r="R9"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9">
        <f>HYPERLINK("https://klasma.github.io/Logging_0980/artfynd/A 569-2023 artfynd.xlsx", "A 569-2023")</f>
        <v/>
      </c>
      <c r="T9">
        <f>HYPERLINK("https://klasma.github.io/Logging_0980/kartor/A 569-2023 karta.png", "A 569-2023")</f>
        <v/>
      </c>
      <c r="V9">
        <f>HYPERLINK("https://klasma.github.io/Logging_0980/klagomål/A 569-2023 FSC-klagomål.docx", "A 569-2023")</f>
        <v/>
      </c>
      <c r="W9">
        <f>HYPERLINK("https://klasma.github.io/Logging_0980/klagomålsmail/A 569-2023 FSC-klagomål mail.docx", "A 569-2023")</f>
        <v/>
      </c>
      <c r="X9">
        <f>HYPERLINK("https://klasma.github.io/Logging_0980/tillsyn/A 569-2023 tillsynsbegäran.docx", "A 569-2023")</f>
        <v/>
      </c>
      <c r="Y9">
        <f>HYPERLINK("https://klasma.github.io/Logging_0980/tillsynsmail/A 569-2023 tillsynsbegäran mail.docx", "A 569-2023")</f>
        <v/>
      </c>
    </row>
    <row r="10" ht="15" customHeight="1">
      <c r="A10" t="inlineStr">
        <is>
          <t>A 44928-2022</t>
        </is>
      </c>
      <c r="B10" s="1" t="n">
        <v>44841</v>
      </c>
      <c r="C10" s="1" t="n">
        <v>45213</v>
      </c>
      <c r="D10" t="inlineStr">
        <is>
          <t>GOTLANDS LÄN</t>
        </is>
      </c>
      <c r="E10" t="inlineStr">
        <is>
          <t>GOTLAND</t>
        </is>
      </c>
      <c r="G10" t="n">
        <v>3.7</v>
      </c>
      <c r="H10" t="n">
        <v>1</v>
      </c>
      <c r="I10" t="n">
        <v>6</v>
      </c>
      <c r="J10" t="n">
        <v>3</v>
      </c>
      <c r="K10" t="n">
        <v>2</v>
      </c>
      <c r="L10" t="n">
        <v>1</v>
      </c>
      <c r="M10" t="n">
        <v>0</v>
      </c>
      <c r="N10" t="n">
        <v>0</v>
      </c>
      <c r="O10" t="n">
        <v>7</v>
      </c>
      <c r="P10" t="n">
        <v>3</v>
      </c>
      <c r="Q10" t="n">
        <v>13</v>
      </c>
      <c r="R10" s="2" t="inlineStr">
        <is>
          <t>Barkkvastmossa
Gulsträngad fagerspindling
Tvillingspindling
Odörspindling
Puderspindling
Ängsstarr
Frostig asplav
Anisspindling
Axag
Blå slemspindling
Kattfotslav
Kärrlilja
Svavelriska</t>
        </is>
      </c>
      <c r="S10">
        <f>HYPERLINK("https://klasma.github.io/Logging_0980/artfynd/A 44928-2022 artfynd.xlsx", "A 44928-2022")</f>
        <v/>
      </c>
      <c r="T10">
        <f>HYPERLINK("https://klasma.github.io/Logging_0980/kartor/A 44928-2022 karta.png", "A 44928-2022")</f>
        <v/>
      </c>
      <c r="V10">
        <f>HYPERLINK("https://klasma.github.io/Logging_0980/klagomål/A 44928-2022 FSC-klagomål.docx", "A 44928-2022")</f>
        <v/>
      </c>
      <c r="W10">
        <f>HYPERLINK("https://klasma.github.io/Logging_0980/klagomålsmail/A 44928-2022 FSC-klagomål mail.docx", "A 44928-2022")</f>
        <v/>
      </c>
      <c r="X10">
        <f>HYPERLINK("https://klasma.github.io/Logging_0980/tillsyn/A 44928-2022 tillsynsbegäran.docx", "A 44928-2022")</f>
        <v/>
      </c>
      <c r="Y10">
        <f>HYPERLINK("https://klasma.github.io/Logging_0980/tillsynsmail/A 44928-2022 tillsynsbegäran mail.docx", "A 44928-2022")</f>
        <v/>
      </c>
    </row>
    <row r="11" ht="15" customHeight="1">
      <c r="A11" t="inlineStr">
        <is>
          <t>A 2804-2023</t>
        </is>
      </c>
      <c r="B11" s="1" t="n">
        <v>44944</v>
      </c>
      <c r="C11" s="1" t="n">
        <v>45213</v>
      </c>
      <c r="D11" t="inlineStr">
        <is>
          <t>GOTLANDS LÄN</t>
        </is>
      </c>
      <c r="E11" t="inlineStr">
        <is>
          <t>GOTLAND</t>
        </is>
      </c>
      <c r="G11" t="n">
        <v>7.6</v>
      </c>
      <c r="H11" t="n">
        <v>2</v>
      </c>
      <c r="I11" t="n">
        <v>4</v>
      </c>
      <c r="J11" t="n">
        <v>4</v>
      </c>
      <c r="K11" t="n">
        <v>3</v>
      </c>
      <c r="L11" t="n">
        <v>0</v>
      </c>
      <c r="M11" t="n">
        <v>0</v>
      </c>
      <c r="N11" t="n">
        <v>0</v>
      </c>
      <c r="O11" t="n">
        <v>7</v>
      </c>
      <c r="P11" t="n">
        <v>3</v>
      </c>
      <c r="Q11" t="n">
        <v>13</v>
      </c>
      <c r="R11" s="2" t="inlineStr">
        <is>
          <t>Granrotspindling
Narrspindling
Violettfläckig spindling
Ekticka
Granticka
Oxtungssvamp
Svinrot
Blå slemspindling
Fransig jordstjärna
Rödgul trumpetsvamp
Svavelriska
Sankt pers nycklar
Blåsippa</t>
        </is>
      </c>
      <c r="S11">
        <f>HYPERLINK("https://klasma.github.io/Logging_0980/artfynd/A 2804-2023 artfynd.xlsx", "A 2804-2023")</f>
        <v/>
      </c>
      <c r="T11">
        <f>HYPERLINK("https://klasma.github.io/Logging_0980/kartor/A 2804-2023 karta.png", "A 2804-2023")</f>
        <v/>
      </c>
      <c r="V11">
        <f>HYPERLINK("https://klasma.github.io/Logging_0980/klagomål/A 2804-2023 FSC-klagomål.docx", "A 2804-2023")</f>
        <v/>
      </c>
      <c r="W11">
        <f>HYPERLINK("https://klasma.github.io/Logging_0980/klagomålsmail/A 2804-2023 FSC-klagomål mail.docx", "A 2804-2023")</f>
        <v/>
      </c>
      <c r="X11">
        <f>HYPERLINK("https://klasma.github.io/Logging_0980/tillsyn/A 2804-2023 tillsynsbegäran.docx", "A 2804-2023")</f>
        <v/>
      </c>
      <c r="Y11">
        <f>HYPERLINK("https://klasma.github.io/Logging_0980/tillsynsmail/A 2804-2023 tillsynsbegäran mail.docx", "A 2804-2023")</f>
        <v/>
      </c>
    </row>
    <row r="12" ht="15" customHeight="1">
      <c r="A12" t="inlineStr">
        <is>
          <t>A 12841-2020</t>
        </is>
      </c>
      <c r="B12" s="1" t="n">
        <v>43899</v>
      </c>
      <c r="C12" s="1" t="n">
        <v>45213</v>
      </c>
      <c r="D12" t="inlineStr">
        <is>
          <t>GOTLANDS LÄN</t>
        </is>
      </c>
      <c r="E12" t="inlineStr">
        <is>
          <t>GOTLAND</t>
        </is>
      </c>
      <c r="G12" t="n">
        <v>6.4</v>
      </c>
      <c r="H12" t="n">
        <v>0</v>
      </c>
      <c r="I12" t="n">
        <v>4</v>
      </c>
      <c r="J12" t="n">
        <v>2</v>
      </c>
      <c r="K12" t="n">
        <v>6</v>
      </c>
      <c r="L12" t="n">
        <v>0</v>
      </c>
      <c r="M12" t="n">
        <v>0</v>
      </c>
      <c r="N12" t="n">
        <v>0</v>
      </c>
      <c r="O12" t="n">
        <v>8</v>
      </c>
      <c r="P12" t="n">
        <v>6</v>
      </c>
      <c r="Q12" t="n">
        <v>12</v>
      </c>
      <c r="R12" s="2" t="inlineStr">
        <is>
          <t>Bullspindling
Duvspindling
Granrotspindling
Kopparspindling
Svartgrön spindling
Vit taggsvamp
Odörspindling
Orange taggsvamp
Dropptaggsvamp
Rödbrun jordstjärna
Skarp dropptaggsvamp
Zontaggsvamp</t>
        </is>
      </c>
      <c r="S12">
        <f>HYPERLINK("https://klasma.github.io/Logging_0980/artfynd/A 12841-2020 artfynd.xlsx", "A 12841-2020")</f>
        <v/>
      </c>
      <c r="T12">
        <f>HYPERLINK("https://klasma.github.io/Logging_0980/kartor/A 12841-2020 karta.png", "A 12841-2020")</f>
        <v/>
      </c>
      <c r="V12">
        <f>HYPERLINK("https://klasma.github.io/Logging_0980/klagomål/A 12841-2020 FSC-klagomål.docx", "A 12841-2020")</f>
        <v/>
      </c>
      <c r="W12">
        <f>HYPERLINK("https://klasma.github.io/Logging_0980/klagomålsmail/A 12841-2020 FSC-klagomål mail.docx", "A 12841-2020")</f>
        <v/>
      </c>
      <c r="X12">
        <f>HYPERLINK("https://klasma.github.io/Logging_0980/tillsyn/A 12841-2020 tillsynsbegäran.docx", "A 12841-2020")</f>
        <v/>
      </c>
      <c r="Y12">
        <f>HYPERLINK("https://klasma.github.io/Logging_0980/tillsynsmail/A 12841-2020 tillsynsbegäran mail.docx", "A 12841-2020")</f>
        <v/>
      </c>
    </row>
    <row r="13" ht="15" customHeight="1">
      <c r="A13" t="inlineStr">
        <is>
          <t>A 25218-2021</t>
        </is>
      </c>
      <c r="B13" s="1" t="n">
        <v>44342</v>
      </c>
      <c r="C13" s="1" t="n">
        <v>45213</v>
      </c>
      <c r="D13" t="inlineStr">
        <is>
          <t>GOTLANDS LÄN</t>
        </is>
      </c>
      <c r="E13" t="inlineStr">
        <is>
          <t>GOTLAND</t>
        </is>
      </c>
      <c r="G13" t="n">
        <v>7.6</v>
      </c>
      <c r="H13" t="n">
        <v>1</v>
      </c>
      <c r="I13" t="n">
        <v>4</v>
      </c>
      <c r="J13" t="n">
        <v>2</v>
      </c>
      <c r="K13" t="n">
        <v>4</v>
      </c>
      <c r="L13" t="n">
        <v>1</v>
      </c>
      <c r="M13" t="n">
        <v>1</v>
      </c>
      <c r="N13" t="n">
        <v>0</v>
      </c>
      <c r="O13" t="n">
        <v>8</v>
      </c>
      <c r="P13" t="n">
        <v>6</v>
      </c>
      <c r="Q13" t="n">
        <v>12</v>
      </c>
      <c r="R13" s="2" t="inlineStr">
        <is>
          <t>Mörk lundlav
Ädellav
Almlav
Klosterlav
Mörk kraterlav
Rosa lundlav
Duvhök
Rosa skärelav
Hasselsopp
Lönnlav
Rikfruktig blemlav
Slät lönnlav</t>
        </is>
      </c>
      <c r="S13">
        <f>HYPERLINK("https://klasma.github.io/Logging_0980/artfynd/A 25218-2021 artfynd.xlsx", "A 25218-2021")</f>
        <v/>
      </c>
      <c r="T13">
        <f>HYPERLINK("https://klasma.github.io/Logging_0980/kartor/A 25218-2021 karta.png", "A 25218-2021")</f>
        <v/>
      </c>
      <c r="V13">
        <f>HYPERLINK("https://klasma.github.io/Logging_0980/klagomål/A 25218-2021 FSC-klagomål.docx", "A 25218-2021")</f>
        <v/>
      </c>
      <c r="W13">
        <f>HYPERLINK("https://klasma.github.io/Logging_0980/klagomålsmail/A 25218-2021 FSC-klagomål mail.docx", "A 25218-2021")</f>
        <v/>
      </c>
      <c r="X13">
        <f>HYPERLINK("https://klasma.github.io/Logging_0980/tillsyn/A 25218-2021 tillsynsbegäran.docx", "A 25218-2021")</f>
        <v/>
      </c>
      <c r="Y13">
        <f>HYPERLINK("https://klasma.github.io/Logging_0980/tillsynsmail/A 25218-2021 tillsynsbegäran mail.docx", "A 25218-2021")</f>
        <v/>
      </c>
    </row>
    <row r="14" ht="15" customHeight="1">
      <c r="A14" t="inlineStr">
        <is>
          <t>A 3324-2023</t>
        </is>
      </c>
      <c r="B14" s="1" t="n">
        <v>44949</v>
      </c>
      <c r="C14" s="1" t="n">
        <v>45213</v>
      </c>
      <c r="D14" t="inlineStr">
        <is>
          <t>GOTLANDS LÄN</t>
        </is>
      </c>
      <c r="E14" t="inlineStr">
        <is>
          <t>GOTLAND</t>
        </is>
      </c>
      <c r="G14" t="n">
        <v>6.2</v>
      </c>
      <c r="H14" t="n">
        <v>0</v>
      </c>
      <c r="I14" t="n">
        <v>4</v>
      </c>
      <c r="J14" t="n">
        <v>2</v>
      </c>
      <c r="K14" t="n">
        <v>6</v>
      </c>
      <c r="L14" t="n">
        <v>0</v>
      </c>
      <c r="M14" t="n">
        <v>0</v>
      </c>
      <c r="N14" t="n">
        <v>0</v>
      </c>
      <c r="O14" t="n">
        <v>8</v>
      </c>
      <c r="P14" t="n">
        <v>6</v>
      </c>
      <c r="Q14" t="n">
        <v>12</v>
      </c>
      <c r="R14" s="2" t="inlineStr">
        <is>
          <t>Blåfotad fagerspindling
Duvspindling
Granrotspindling
Gulsträngad fagerspindling
Svartgrön spindling
Tvillingspindling
Odörspindling
Äggspindling
Anisspindling
Blå slemspindling
Olivspindling
Rödgul trumpetsvamp</t>
        </is>
      </c>
      <c r="S14">
        <f>HYPERLINK("https://klasma.github.io/Logging_0980/artfynd/A 3324-2023 artfynd.xlsx", "A 3324-2023")</f>
        <v/>
      </c>
      <c r="T14">
        <f>HYPERLINK("https://klasma.github.io/Logging_0980/kartor/A 3324-2023 karta.png", "A 3324-2023")</f>
        <v/>
      </c>
      <c r="V14">
        <f>HYPERLINK("https://klasma.github.io/Logging_0980/klagomål/A 3324-2023 FSC-klagomål.docx", "A 3324-2023")</f>
        <v/>
      </c>
      <c r="W14">
        <f>HYPERLINK("https://klasma.github.io/Logging_0980/klagomålsmail/A 3324-2023 FSC-klagomål mail.docx", "A 3324-2023")</f>
        <v/>
      </c>
      <c r="X14">
        <f>HYPERLINK("https://klasma.github.io/Logging_0980/tillsyn/A 3324-2023 tillsynsbegäran.docx", "A 3324-2023")</f>
        <v/>
      </c>
      <c r="Y14">
        <f>HYPERLINK("https://klasma.github.io/Logging_0980/tillsynsmail/A 3324-2023 tillsynsbegäran mail.docx", "A 3324-2023")</f>
        <v/>
      </c>
    </row>
    <row r="15" ht="15" customHeight="1">
      <c r="A15" t="inlineStr">
        <is>
          <t>A 62551-2022</t>
        </is>
      </c>
      <c r="B15" s="1" t="n">
        <v>44924</v>
      </c>
      <c r="C15" s="1" t="n">
        <v>45213</v>
      </c>
      <c r="D15" t="inlineStr">
        <is>
          <t>GOTLANDS LÄN</t>
        </is>
      </c>
      <c r="E15" t="inlineStr">
        <is>
          <t>GOTLAND</t>
        </is>
      </c>
      <c r="G15" t="n">
        <v>7.9</v>
      </c>
      <c r="H15" t="n">
        <v>0</v>
      </c>
      <c r="I15" t="n">
        <v>7</v>
      </c>
      <c r="J15" t="n">
        <v>2</v>
      </c>
      <c r="K15" t="n">
        <v>2</v>
      </c>
      <c r="L15" t="n">
        <v>0</v>
      </c>
      <c r="M15" t="n">
        <v>0</v>
      </c>
      <c r="N15" t="n">
        <v>0</v>
      </c>
      <c r="O15" t="n">
        <v>4</v>
      </c>
      <c r="P15" t="n">
        <v>2</v>
      </c>
      <c r="Q15" t="n">
        <v>11</v>
      </c>
      <c r="R15" s="2" t="inlineStr">
        <is>
          <t>Granrotspindling
Svartgrön spindling
Odörspindling
Äggspindling
Anisspindling
Blomkålssvamp
Blå slemspindling
Diskvaxskivling
Fransig jordstjärna
Kryddspindling
Rödgul trumpetsvamp</t>
        </is>
      </c>
      <c r="S15">
        <f>HYPERLINK("https://klasma.github.io/Logging_0980/artfynd/A 62551-2022 artfynd.xlsx", "A 62551-2022")</f>
        <v/>
      </c>
      <c r="T15">
        <f>HYPERLINK("https://klasma.github.io/Logging_0980/kartor/A 62551-2022 karta.png", "A 62551-2022")</f>
        <v/>
      </c>
      <c r="V15">
        <f>HYPERLINK("https://klasma.github.io/Logging_0980/klagomål/A 62551-2022 FSC-klagomål.docx", "A 62551-2022")</f>
        <v/>
      </c>
      <c r="W15">
        <f>HYPERLINK("https://klasma.github.io/Logging_0980/klagomålsmail/A 62551-2022 FSC-klagomål mail.docx", "A 62551-2022")</f>
        <v/>
      </c>
      <c r="X15">
        <f>HYPERLINK("https://klasma.github.io/Logging_0980/tillsyn/A 62551-2022 tillsynsbegäran.docx", "A 62551-2022")</f>
        <v/>
      </c>
      <c r="Y15">
        <f>HYPERLINK("https://klasma.github.io/Logging_0980/tillsynsmail/A 62551-2022 tillsynsbegäran mail.docx", "A 62551-2022")</f>
        <v/>
      </c>
    </row>
    <row r="16" ht="15" customHeight="1">
      <c r="A16" t="inlineStr">
        <is>
          <t>A 922-2023</t>
        </is>
      </c>
      <c r="B16" s="1" t="n">
        <v>44932</v>
      </c>
      <c r="C16" s="1" t="n">
        <v>45213</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HYPERLINK("https://klasma.github.io/Logging_0980/artfynd/A 922-2023 artfynd.xlsx", "A 922-2023")</f>
        <v/>
      </c>
      <c r="T16">
        <f>HYPERLINK("https://klasma.github.io/Logging_0980/kartor/A 922-2023 karta.png", "A 922-2023")</f>
        <v/>
      </c>
      <c r="V16">
        <f>HYPERLINK("https://klasma.github.io/Logging_0980/klagomål/A 922-2023 FSC-klagomål.docx", "A 922-2023")</f>
        <v/>
      </c>
      <c r="W16">
        <f>HYPERLINK("https://klasma.github.io/Logging_0980/klagomålsmail/A 922-2023 FSC-klagomål mail.docx", "A 922-2023")</f>
        <v/>
      </c>
      <c r="X16">
        <f>HYPERLINK("https://klasma.github.io/Logging_0980/tillsyn/A 922-2023 tillsynsbegäran.docx", "A 922-2023")</f>
        <v/>
      </c>
      <c r="Y16">
        <f>HYPERLINK("https://klasma.github.io/Logging_0980/tillsynsmail/A 922-2023 tillsynsbegäran mail.docx", "A 922-2023")</f>
        <v/>
      </c>
    </row>
    <row r="17" ht="15" customHeight="1">
      <c r="A17" t="inlineStr">
        <is>
          <t>A 51841-2018</t>
        </is>
      </c>
      <c r="B17" s="1" t="n">
        <v>43384</v>
      </c>
      <c r="C17" s="1" t="n">
        <v>45213</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HYPERLINK("https://klasma.github.io/Logging_0980/artfynd/A 51841-2018 artfynd.xlsx", "A 51841-2018")</f>
        <v/>
      </c>
      <c r="T17">
        <f>HYPERLINK("https://klasma.github.io/Logging_0980/kartor/A 51841-2018 karta.png", "A 51841-2018")</f>
        <v/>
      </c>
      <c r="V17">
        <f>HYPERLINK("https://klasma.github.io/Logging_0980/klagomål/A 51841-2018 FSC-klagomål.docx", "A 51841-2018")</f>
        <v/>
      </c>
      <c r="W17">
        <f>HYPERLINK("https://klasma.github.io/Logging_0980/klagomålsmail/A 51841-2018 FSC-klagomål mail.docx", "A 51841-2018")</f>
        <v/>
      </c>
      <c r="X17">
        <f>HYPERLINK("https://klasma.github.io/Logging_0980/tillsyn/A 51841-2018 tillsynsbegäran.docx", "A 51841-2018")</f>
        <v/>
      </c>
      <c r="Y17">
        <f>HYPERLINK("https://klasma.github.io/Logging_0980/tillsynsmail/A 51841-2018 tillsynsbegäran mail.docx", "A 51841-2018")</f>
        <v/>
      </c>
    </row>
    <row r="18" ht="15" customHeight="1">
      <c r="A18" t="inlineStr">
        <is>
          <t>A 53103-2021</t>
        </is>
      </c>
      <c r="B18" s="1" t="n">
        <v>44467</v>
      </c>
      <c r="C18" s="1" t="n">
        <v>45213</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HYPERLINK("https://klasma.github.io/Logging_0980/artfynd/A 53103-2021 artfynd.xlsx", "A 53103-2021")</f>
        <v/>
      </c>
      <c r="T18">
        <f>HYPERLINK("https://klasma.github.io/Logging_0980/kartor/A 53103-2021 karta.png", "A 53103-2021")</f>
        <v/>
      </c>
      <c r="V18">
        <f>HYPERLINK("https://klasma.github.io/Logging_0980/klagomål/A 53103-2021 FSC-klagomål.docx", "A 53103-2021")</f>
        <v/>
      </c>
      <c r="W18">
        <f>HYPERLINK("https://klasma.github.io/Logging_0980/klagomålsmail/A 53103-2021 FSC-klagomål mail.docx", "A 53103-2021")</f>
        <v/>
      </c>
      <c r="X18">
        <f>HYPERLINK("https://klasma.github.io/Logging_0980/tillsyn/A 53103-2021 tillsynsbegäran.docx", "A 53103-2021")</f>
        <v/>
      </c>
      <c r="Y18">
        <f>HYPERLINK("https://klasma.github.io/Logging_0980/tillsynsmail/A 53103-2021 tillsynsbegäran mail.docx", "A 53103-2021")</f>
        <v/>
      </c>
    </row>
    <row r="19" ht="15" customHeight="1">
      <c r="A19" t="inlineStr">
        <is>
          <t>A 8915-2023</t>
        </is>
      </c>
      <c r="B19" s="1" t="n">
        <v>44973</v>
      </c>
      <c r="C19" s="1" t="n">
        <v>45213</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HYPERLINK("https://klasma.github.io/Logging_0980/artfynd/A 8915-2023 artfynd.xlsx", "A 8915-2023")</f>
        <v/>
      </c>
      <c r="T19">
        <f>HYPERLINK("https://klasma.github.io/Logging_0980/kartor/A 8915-2023 karta.png", "A 8915-2023")</f>
        <v/>
      </c>
      <c r="V19">
        <f>HYPERLINK("https://klasma.github.io/Logging_0980/klagomål/A 8915-2023 FSC-klagomål.docx", "A 8915-2023")</f>
        <v/>
      </c>
      <c r="W19">
        <f>HYPERLINK("https://klasma.github.io/Logging_0980/klagomålsmail/A 8915-2023 FSC-klagomål mail.docx", "A 8915-2023")</f>
        <v/>
      </c>
      <c r="X19">
        <f>HYPERLINK("https://klasma.github.io/Logging_0980/tillsyn/A 8915-2023 tillsynsbegäran.docx", "A 8915-2023")</f>
        <v/>
      </c>
      <c r="Y19">
        <f>HYPERLINK("https://klasma.github.io/Logging_0980/tillsynsmail/A 8915-2023 tillsynsbegäran mail.docx", "A 8915-2023")</f>
        <v/>
      </c>
    </row>
    <row r="20" ht="15" customHeight="1">
      <c r="A20" t="inlineStr">
        <is>
          <t>A 58504-2018</t>
        </is>
      </c>
      <c r="B20" s="1" t="n">
        <v>43409</v>
      </c>
      <c r="C20" s="1" t="n">
        <v>45213</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HYPERLINK("https://klasma.github.io/Logging_0980/artfynd/A 58504-2018 artfynd.xlsx", "A 58504-2018")</f>
        <v/>
      </c>
      <c r="T20">
        <f>HYPERLINK("https://klasma.github.io/Logging_0980/kartor/A 58504-2018 karta.png", "A 58504-2018")</f>
        <v/>
      </c>
      <c r="V20">
        <f>HYPERLINK("https://klasma.github.io/Logging_0980/klagomål/A 58504-2018 FSC-klagomål.docx", "A 58504-2018")</f>
        <v/>
      </c>
      <c r="W20">
        <f>HYPERLINK("https://klasma.github.io/Logging_0980/klagomålsmail/A 58504-2018 FSC-klagomål mail.docx", "A 58504-2018")</f>
        <v/>
      </c>
      <c r="X20">
        <f>HYPERLINK("https://klasma.github.io/Logging_0980/tillsyn/A 58504-2018 tillsynsbegäran.docx", "A 58504-2018")</f>
        <v/>
      </c>
      <c r="Y20">
        <f>HYPERLINK("https://klasma.github.io/Logging_0980/tillsynsmail/A 58504-2018 tillsynsbegäran mail.docx", "A 58504-2018")</f>
        <v/>
      </c>
    </row>
    <row r="21" ht="15" customHeight="1">
      <c r="A21" t="inlineStr">
        <is>
          <t>A 455-2020</t>
        </is>
      </c>
      <c r="B21" s="1" t="n">
        <v>43837</v>
      </c>
      <c r="C21" s="1" t="n">
        <v>45213</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HYPERLINK("https://klasma.github.io/Logging_0980/artfynd/A 455-2020 artfynd.xlsx", "A 455-2020")</f>
        <v/>
      </c>
      <c r="T21">
        <f>HYPERLINK("https://klasma.github.io/Logging_0980/kartor/A 455-2020 karta.png", "A 455-2020")</f>
        <v/>
      </c>
      <c r="V21">
        <f>HYPERLINK("https://klasma.github.io/Logging_0980/klagomål/A 455-2020 FSC-klagomål.docx", "A 455-2020")</f>
        <v/>
      </c>
      <c r="W21">
        <f>HYPERLINK("https://klasma.github.io/Logging_0980/klagomålsmail/A 455-2020 FSC-klagomål mail.docx", "A 455-2020")</f>
        <v/>
      </c>
      <c r="X21">
        <f>HYPERLINK("https://klasma.github.io/Logging_0980/tillsyn/A 455-2020 tillsynsbegäran.docx", "A 455-2020")</f>
        <v/>
      </c>
      <c r="Y21">
        <f>HYPERLINK("https://klasma.github.io/Logging_0980/tillsynsmail/A 455-2020 tillsynsbegäran mail.docx", "A 455-2020")</f>
        <v/>
      </c>
    </row>
    <row r="22" ht="15" customHeight="1">
      <c r="A22" t="inlineStr">
        <is>
          <t>A 10699-2020</t>
        </is>
      </c>
      <c r="B22" s="1" t="n">
        <v>43888</v>
      </c>
      <c r="C22" s="1" t="n">
        <v>45213</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HYPERLINK("https://klasma.github.io/Logging_0980/artfynd/A 10699-2020 artfynd.xlsx", "A 10699-2020")</f>
        <v/>
      </c>
      <c r="T22">
        <f>HYPERLINK("https://klasma.github.io/Logging_0980/kartor/A 10699-2020 karta.png", "A 10699-2020")</f>
        <v/>
      </c>
      <c r="V22">
        <f>HYPERLINK("https://klasma.github.io/Logging_0980/klagomål/A 10699-2020 FSC-klagomål.docx", "A 10699-2020")</f>
        <v/>
      </c>
      <c r="W22">
        <f>HYPERLINK("https://klasma.github.io/Logging_0980/klagomålsmail/A 10699-2020 FSC-klagomål mail.docx", "A 10699-2020")</f>
        <v/>
      </c>
      <c r="X22">
        <f>HYPERLINK("https://klasma.github.io/Logging_0980/tillsyn/A 10699-2020 tillsynsbegäran.docx", "A 10699-2020")</f>
        <v/>
      </c>
      <c r="Y22">
        <f>HYPERLINK("https://klasma.github.io/Logging_0980/tillsynsmail/A 10699-2020 tillsynsbegäran mail.docx", "A 10699-2020")</f>
        <v/>
      </c>
    </row>
    <row r="23" ht="15" customHeight="1">
      <c r="A23" t="inlineStr">
        <is>
          <t>A 21371-2020</t>
        </is>
      </c>
      <c r="B23" s="1" t="n">
        <v>43955</v>
      </c>
      <c r="C23" s="1" t="n">
        <v>45213</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HYPERLINK("https://klasma.github.io/Logging_0980/artfynd/A 21371-2020 artfynd.xlsx", "A 21371-2020")</f>
        <v/>
      </c>
      <c r="T23">
        <f>HYPERLINK("https://klasma.github.io/Logging_0980/kartor/A 21371-2020 karta.png", "A 21371-2020")</f>
        <v/>
      </c>
      <c r="V23">
        <f>HYPERLINK("https://klasma.github.io/Logging_0980/klagomål/A 21371-2020 FSC-klagomål.docx", "A 21371-2020")</f>
        <v/>
      </c>
      <c r="W23">
        <f>HYPERLINK("https://klasma.github.io/Logging_0980/klagomålsmail/A 21371-2020 FSC-klagomål mail.docx", "A 21371-2020")</f>
        <v/>
      </c>
      <c r="X23">
        <f>HYPERLINK("https://klasma.github.io/Logging_0980/tillsyn/A 21371-2020 tillsynsbegäran.docx", "A 21371-2020")</f>
        <v/>
      </c>
      <c r="Y23">
        <f>HYPERLINK("https://klasma.github.io/Logging_0980/tillsynsmail/A 21371-2020 tillsynsbegäran mail.docx", "A 21371-2020")</f>
        <v/>
      </c>
    </row>
    <row r="24" ht="15" customHeight="1">
      <c r="A24" t="inlineStr">
        <is>
          <t>A 1769-2022</t>
        </is>
      </c>
      <c r="B24" s="1" t="n">
        <v>44574</v>
      </c>
      <c r="C24" s="1" t="n">
        <v>45213</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HYPERLINK("https://klasma.github.io/Logging_0980/artfynd/A 1769-2022 artfynd.xlsx", "A 1769-2022")</f>
        <v/>
      </c>
      <c r="T24">
        <f>HYPERLINK("https://klasma.github.io/Logging_0980/kartor/A 1769-2022 karta.png", "A 1769-2022")</f>
        <v/>
      </c>
      <c r="V24">
        <f>HYPERLINK("https://klasma.github.io/Logging_0980/klagomål/A 1769-2022 FSC-klagomål.docx", "A 1769-2022")</f>
        <v/>
      </c>
      <c r="W24">
        <f>HYPERLINK("https://klasma.github.io/Logging_0980/klagomålsmail/A 1769-2022 FSC-klagomål mail.docx", "A 1769-2022")</f>
        <v/>
      </c>
      <c r="X24">
        <f>HYPERLINK("https://klasma.github.io/Logging_0980/tillsyn/A 1769-2022 tillsynsbegäran.docx", "A 1769-2022")</f>
        <v/>
      </c>
      <c r="Y24">
        <f>HYPERLINK("https://klasma.github.io/Logging_0980/tillsynsmail/A 1769-2022 tillsynsbegäran mail.docx", "A 1769-2022")</f>
        <v/>
      </c>
    </row>
    <row r="25" ht="15" customHeight="1">
      <c r="A25" t="inlineStr">
        <is>
          <t>A 22318-2022</t>
        </is>
      </c>
      <c r="B25" s="1" t="n">
        <v>44712</v>
      </c>
      <c r="C25" s="1" t="n">
        <v>45213</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HYPERLINK("https://klasma.github.io/Logging_0980/artfynd/A 22318-2022 artfynd.xlsx", "A 22318-2022")</f>
        <v/>
      </c>
      <c r="T25">
        <f>HYPERLINK("https://klasma.github.io/Logging_0980/kartor/A 22318-2022 karta.png", "A 22318-2022")</f>
        <v/>
      </c>
      <c r="V25">
        <f>HYPERLINK("https://klasma.github.io/Logging_0980/klagomål/A 22318-2022 FSC-klagomål.docx", "A 22318-2022")</f>
        <v/>
      </c>
      <c r="W25">
        <f>HYPERLINK("https://klasma.github.io/Logging_0980/klagomålsmail/A 22318-2022 FSC-klagomål mail.docx", "A 22318-2022")</f>
        <v/>
      </c>
      <c r="X25">
        <f>HYPERLINK("https://klasma.github.io/Logging_0980/tillsyn/A 22318-2022 tillsynsbegäran.docx", "A 22318-2022")</f>
        <v/>
      </c>
      <c r="Y25">
        <f>HYPERLINK("https://klasma.github.io/Logging_0980/tillsynsmail/A 22318-2022 tillsynsbegäran mail.docx", "A 22318-2022")</f>
        <v/>
      </c>
    </row>
    <row r="26" ht="15" customHeight="1">
      <c r="A26" t="inlineStr">
        <is>
          <t>A 7039-2023</t>
        </is>
      </c>
      <c r="B26" s="1" t="n">
        <v>44968</v>
      </c>
      <c r="C26" s="1" t="n">
        <v>45213</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HYPERLINK("https://klasma.github.io/Logging_0980/artfynd/A 7039-2023 artfynd.xlsx", "A 7039-2023")</f>
        <v/>
      </c>
      <c r="T26">
        <f>HYPERLINK("https://klasma.github.io/Logging_0980/kartor/A 7039-2023 karta.png", "A 7039-2023")</f>
        <v/>
      </c>
      <c r="V26">
        <f>HYPERLINK("https://klasma.github.io/Logging_0980/klagomål/A 7039-2023 FSC-klagomål.docx", "A 7039-2023")</f>
        <v/>
      </c>
      <c r="W26">
        <f>HYPERLINK("https://klasma.github.io/Logging_0980/klagomålsmail/A 7039-2023 FSC-klagomål mail.docx", "A 7039-2023")</f>
        <v/>
      </c>
      <c r="X26">
        <f>HYPERLINK("https://klasma.github.io/Logging_0980/tillsyn/A 7039-2023 tillsynsbegäran.docx", "A 7039-2023")</f>
        <v/>
      </c>
      <c r="Y26">
        <f>HYPERLINK("https://klasma.github.io/Logging_0980/tillsynsmail/A 7039-2023 tillsynsbegäran mail.docx", "A 7039-2023")</f>
        <v/>
      </c>
    </row>
    <row r="27" ht="15" customHeight="1">
      <c r="A27" t="inlineStr">
        <is>
          <t>A 14450-2023</t>
        </is>
      </c>
      <c r="B27" s="1" t="n">
        <v>45012</v>
      </c>
      <c r="C27" s="1" t="n">
        <v>45213</v>
      </c>
      <c r="D27" t="inlineStr">
        <is>
          <t>GOTLANDS LÄN</t>
        </is>
      </c>
      <c r="E27" t="inlineStr">
        <is>
          <t>GOTLAND</t>
        </is>
      </c>
      <c r="G27" t="n">
        <v>11.6</v>
      </c>
      <c r="H27" t="n">
        <v>0</v>
      </c>
      <c r="I27" t="n">
        <v>5</v>
      </c>
      <c r="J27" t="n">
        <v>1</v>
      </c>
      <c r="K27" t="n">
        <v>2</v>
      </c>
      <c r="L27" t="n">
        <v>0</v>
      </c>
      <c r="M27" t="n">
        <v>0</v>
      </c>
      <c r="N27" t="n">
        <v>0</v>
      </c>
      <c r="O27" t="n">
        <v>3</v>
      </c>
      <c r="P27" t="n">
        <v>2</v>
      </c>
      <c r="Q27" t="n">
        <v>8</v>
      </c>
      <c r="R27" s="2" t="inlineStr">
        <is>
          <t>Pluggtrattskivling
Vit taggsvamp
Gulfotad denisespindling
Diskvaxskivling
Fjällig taggsvamp s.str.
Fransig jordstjärna
Mindre märgborre
Rödgul trumpetsvamp</t>
        </is>
      </c>
      <c r="S27">
        <f>HYPERLINK("https://klasma.github.io/Logging_0980/artfynd/A 14450-2023 artfynd.xlsx", "A 14450-2023")</f>
        <v/>
      </c>
      <c r="T27">
        <f>HYPERLINK("https://klasma.github.io/Logging_0980/kartor/A 14450-2023 karta.png", "A 14450-2023")</f>
        <v/>
      </c>
      <c r="V27">
        <f>HYPERLINK("https://klasma.github.io/Logging_0980/klagomål/A 14450-2023 FSC-klagomål.docx", "A 14450-2023")</f>
        <v/>
      </c>
      <c r="W27">
        <f>HYPERLINK("https://klasma.github.io/Logging_0980/klagomålsmail/A 14450-2023 FSC-klagomål mail.docx", "A 14450-2023")</f>
        <v/>
      </c>
      <c r="X27">
        <f>HYPERLINK("https://klasma.github.io/Logging_0980/tillsyn/A 14450-2023 tillsynsbegäran.docx", "A 14450-2023")</f>
        <v/>
      </c>
      <c r="Y27">
        <f>HYPERLINK("https://klasma.github.io/Logging_0980/tillsynsmail/A 14450-2023 tillsynsbegäran mail.docx", "A 14450-2023")</f>
        <v/>
      </c>
    </row>
    <row r="28" ht="15" customHeight="1">
      <c r="A28" t="inlineStr">
        <is>
          <t>A 17551-2019</t>
        </is>
      </c>
      <c r="B28" s="1" t="n">
        <v>43553</v>
      </c>
      <c r="C28" s="1" t="n">
        <v>45213</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45213</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45213</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45213</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45213</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45213</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45213</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45213</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45213</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45213</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45213</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45213</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45213</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45213</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45213</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22317-2022</t>
        </is>
      </c>
      <c r="B43" s="1" t="n">
        <v>44712</v>
      </c>
      <c r="C43" s="1" t="n">
        <v>45213</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 artfynd.xlsx", "A 22317-2022")</f>
        <v/>
      </c>
      <c r="T43">
        <f>HYPERLINK("https://klasma.github.io/Logging_0980/kartor/A 22317-2022 karta.png", "A 22317-2022")</f>
        <v/>
      </c>
      <c r="V43">
        <f>HYPERLINK("https://klasma.github.io/Logging_0980/klagomål/A 22317-2022 FSC-klagomål.docx", "A 22317-2022")</f>
        <v/>
      </c>
      <c r="W43">
        <f>HYPERLINK("https://klasma.github.io/Logging_0980/klagomålsmail/A 22317-2022 FSC-klagomål mail.docx", "A 22317-2022")</f>
        <v/>
      </c>
      <c r="X43">
        <f>HYPERLINK("https://klasma.github.io/Logging_0980/tillsyn/A 22317-2022 tillsynsbegäran.docx", "A 22317-2022")</f>
        <v/>
      </c>
      <c r="Y43">
        <f>HYPERLINK("https://klasma.github.io/Logging_0980/tillsynsmail/A 22317-2022 tillsynsbegäran mail.docx", "A 22317-2022")</f>
        <v/>
      </c>
    </row>
    <row r="44" ht="15" customHeight="1">
      <c r="A44" t="inlineStr">
        <is>
          <t>A 39471-2022</t>
        </is>
      </c>
      <c r="B44" s="1" t="n">
        <v>44818</v>
      </c>
      <c r="C44" s="1" t="n">
        <v>45213</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 artfynd.xlsx", "A 39471-2022")</f>
        <v/>
      </c>
      <c r="T44">
        <f>HYPERLINK("https://klasma.github.io/Logging_0980/kartor/A 39471-2022 karta.png", "A 39471-2022")</f>
        <v/>
      </c>
      <c r="V44">
        <f>HYPERLINK("https://klasma.github.io/Logging_0980/klagomål/A 39471-2022 FSC-klagomål.docx", "A 39471-2022")</f>
        <v/>
      </c>
      <c r="W44">
        <f>HYPERLINK("https://klasma.github.io/Logging_0980/klagomålsmail/A 39471-2022 FSC-klagomål mail.docx", "A 39471-2022")</f>
        <v/>
      </c>
      <c r="X44">
        <f>HYPERLINK("https://klasma.github.io/Logging_0980/tillsyn/A 39471-2022 tillsynsbegäran.docx", "A 39471-2022")</f>
        <v/>
      </c>
      <c r="Y44">
        <f>HYPERLINK("https://klasma.github.io/Logging_0980/tillsynsmail/A 39471-2022 tillsynsbegäran mail.docx", "A 39471-2022")</f>
        <v/>
      </c>
    </row>
    <row r="45" ht="15" customHeight="1">
      <c r="A45" t="inlineStr">
        <is>
          <t>A 54055-2022</t>
        </is>
      </c>
      <c r="B45" s="1" t="n">
        <v>44881</v>
      </c>
      <c r="C45" s="1" t="n">
        <v>45213</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 artfynd.xlsx", "A 54055-2022")</f>
        <v/>
      </c>
      <c r="T45">
        <f>HYPERLINK("https://klasma.github.io/Logging_0980/kartor/A 54055-2022 karta.png", "A 54055-2022")</f>
        <v/>
      </c>
      <c r="V45">
        <f>HYPERLINK("https://klasma.github.io/Logging_0980/klagomål/A 54055-2022 FSC-klagomål.docx", "A 54055-2022")</f>
        <v/>
      </c>
      <c r="W45">
        <f>HYPERLINK("https://klasma.github.io/Logging_0980/klagomålsmail/A 54055-2022 FSC-klagomål mail.docx", "A 54055-2022")</f>
        <v/>
      </c>
      <c r="X45">
        <f>HYPERLINK("https://klasma.github.io/Logging_0980/tillsyn/A 54055-2022 tillsynsbegäran.docx", "A 54055-2022")</f>
        <v/>
      </c>
      <c r="Y45">
        <f>HYPERLINK("https://klasma.github.io/Logging_0980/tillsynsmail/A 54055-2022 tillsynsbegäran mail.docx", "A 54055-2022")</f>
        <v/>
      </c>
    </row>
    <row r="46" ht="15" customHeight="1">
      <c r="A46" t="inlineStr">
        <is>
          <t>A 2085-2023</t>
        </is>
      </c>
      <c r="B46" s="1" t="n">
        <v>44939</v>
      </c>
      <c r="C46" s="1" t="n">
        <v>45213</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 artfynd.xlsx", "A 2085-2023")</f>
        <v/>
      </c>
      <c r="T46">
        <f>HYPERLINK("https://klasma.github.io/Logging_0980/kartor/A 2085-2023 karta.png", "A 2085-2023")</f>
        <v/>
      </c>
      <c r="V46">
        <f>HYPERLINK("https://klasma.github.io/Logging_0980/klagomål/A 2085-2023 FSC-klagomål.docx", "A 2085-2023")</f>
        <v/>
      </c>
      <c r="W46">
        <f>HYPERLINK("https://klasma.github.io/Logging_0980/klagomålsmail/A 2085-2023 FSC-klagomål mail.docx", "A 2085-2023")</f>
        <v/>
      </c>
      <c r="X46">
        <f>HYPERLINK("https://klasma.github.io/Logging_0980/tillsyn/A 2085-2023 tillsynsbegäran.docx", "A 2085-2023")</f>
        <v/>
      </c>
      <c r="Y46">
        <f>HYPERLINK("https://klasma.github.io/Logging_0980/tillsynsmail/A 2085-2023 tillsynsbegäran mail.docx", "A 2085-2023")</f>
        <v/>
      </c>
    </row>
    <row r="47" ht="15" customHeight="1">
      <c r="A47" t="inlineStr">
        <is>
          <t>A 8246-2019</t>
        </is>
      </c>
      <c r="B47" s="1" t="n">
        <v>43501</v>
      </c>
      <c r="C47" s="1" t="n">
        <v>45213</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 artfynd.xlsx", "A 8246-2019")</f>
        <v/>
      </c>
      <c r="T47">
        <f>HYPERLINK("https://klasma.github.io/Logging_0980/kartor/A 8246-2019 karta.png", "A 8246-2019")</f>
        <v/>
      </c>
      <c r="V47">
        <f>HYPERLINK("https://klasma.github.io/Logging_0980/klagomål/A 8246-2019 FSC-klagomål.docx", "A 8246-2019")</f>
        <v/>
      </c>
      <c r="W47">
        <f>HYPERLINK("https://klasma.github.io/Logging_0980/klagomålsmail/A 8246-2019 FSC-klagomål mail.docx", "A 8246-2019")</f>
        <v/>
      </c>
      <c r="X47">
        <f>HYPERLINK("https://klasma.github.io/Logging_0980/tillsyn/A 8246-2019 tillsynsbegäran.docx", "A 8246-2019")</f>
        <v/>
      </c>
      <c r="Y47">
        <f>HYPERLINK("https://klasma.github.io/Logging_0980/tillsynsmail/A 8246-2019 tillsynsbegäran mail.docx", "A 8246-2019")</f>
        <v/>
      </c>
    </row>
    <row r="48" ht="15" customHeight="1">
      <c r="A48" t="inlineStr">
        <is>
          <t>A 21537-2019</t>
        </is>
      </c>
      <c r="B48" s="1" t="n">
        <v>43580</v>
      </c>
      <c r="C48" s="1" t="n">
        <v>45213</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 artfynd.xlsx", "A 21537-2019")</f>
        <v/>
      </c>
      <c r="T48">
        <f>HYPERLINK("https://klasma.github.io/Logging_0980/kartor/A 21537-2019 karta.png", "A 21537-2019")</f>
        <v/>
      </c>
      <c r="V48">
        <f>HYPERLINK("https://klasma.github.io/Logging_0980/klagomål/A 21537-2019 FSC-klagomål.docx", "A 21537-2019")</f>
        <v/>
      </c>
      <c r="W48">
        <f>HYPERLINK("https://klasma.github.io/Logging_0980/klagomålsmail/A 21537-2019 FSC-klagomål mail.docx", "A 21537-2019")</f>
        <v/>
      </c>
      <c r="X48">
        <f>HYPERLINK("https://klasma.github.io/Logging_0980/tillsyn/A 21537-2019 tillsynsbegäran.docx", "A 21537-2019")</f>
        <v/>
      </c>
      <c r="Y48">
        <f>HYPERLINK("https://klasma.github.io/Logging_0980/tillsynsmail/A 21537-2019 tillsynsbegäran mail.docx", "A 21537-2019")</f>
        <v/>
      </c>
    </row>
    <row r="49" ht="15" customHeight="1">
      <c r="A49" t="inlineStr">
        <is>
          <t>A 39839-2019</t>
        </is>
      </c>
      <c r="B49" s="1" t="n">
        <v>43689</v>
      </c>
      <c r="C49" s="1" t="n">
        <v>45213</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 artfynd.xlsx", "A 39839-2019")</f>
        <v/>
      </c>
      <c r="T49">
        <f>HYPERLINK("https://klasma.github.io/Logging_0980/kartor/A 39839-2019 karta.png", "A 39839-2019")</f>
        <v/>
      </c>
      <c r="V49">
        <f>HYPERLINK("https://klasma.github.io/Logging_0980/klagomål/A 39839-2019 FSC-klagomål.docx", "A 39839-2019")</f>
        <v/>
      </c>
      <c r="W49">
        <f>HYPERLINK("https://klasma.github.io/Logging_0980/klagomålsmail/A 39839-2019 FSC-klagomål mail.docx", "A 39839-2019")</f>
        <v/>
      </c>
      <c r="X49">
        <f>HYPERLINK("https://klasma.github.io/Logging_0980/tillsyn/A 39839-2019 tillsynsbegäran.docx", "A 39839-2019")</f>
        <v/>
      </c>
      <c r="Y49">
        <f>HYPERLINK("https://klasma.github.io/Logging_0980/tillsynsmail/A 39839-2019 tillsynsbegäran mail.docx", "A 39839-2019")</f>
        <v/>
      </c>
    </row>
    <row r="50" ht="15" customHeight="1">
      <c r="A50" t="inlineStr">
        <is>
          <t>A 64378-2020</t>
        </is>
      </c>
      <c r="B50" s="1" t="n">
        <v>44168</v>
      </c>
      <c r="C50" s="1" t="n">
        <v>45213</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 artfynd.xlsx", "A 64378-2020")</f>
        <v/>
      </c>
      <c r="T50">
        <f>HYPERLINK("https://klasma.github.io/Logging_0980/kartor/A 64378-2020 karta.png", "A 64378-2020")</f>
        <v/>
      </c>
      <c r="V50">
        <f>HYPERLINK("https://klasma.github.io/Logging_0980/klagomål/A 64378-2020 FSC-klagomål.docx", "A 64378-2020")</f>
        <v/>
      </c>
      <c r="W50">
        <f>HYPERLINK("https://klasma.github.io/Logging_0980/klagomålsmail/A 64378-2020 FSC-klagomål mail.docx", "A 64378-2020")</f>
        <v/>
      </c>
      <c r="X50">
        <f>HYPERLINK("https://klasma.github.io/Logging_0980/tillsyn/A 64378-2020 tillsynsbegäran.docx", "A 64378-2020")</f>
        <v/>
      </c>
      <c r="Y50">
        <f>HYPERLINK("https://klasma.github.io/Logging_0980/tillsynsmail/A 64378-2020 tillsynsbegäran mail.docx", "A 64378-2020")</f>
        <v/>
      </c>
    </row>
    <row r="51" ht="15" customHeight="1">
      <c r="A51" t="inlineStr">
        <is>
          <t>A 2223-2021</t>
        </is>
      </c>
      <c r="B51" s="1" t="n">
        <v>44211</v>
      </c>
      <c r="C51" s="1" t="n">
        <v>45213</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 artfynd.xlsx", "A 2223-2021")</f>
        <v/>
      </c>
      <c r="T51">
        <f>HYPERLINK("https://klasma.github.io/Logging_0980/kartor/A 2223-2021 karta.png", "A 2223-2021")</f>
        <v/>
      </c>
      <c r="V51">
        <f>HYPERLINK("https://klasma.github.io/Logging_0980/klagomål/A 2223-2021 FSC-klagomål.docx", "A 2223-2021")</f>
        <v/>
      </c>
      <c r="W51">
        <f>HYPERLINK("https://klasma.github.io/Logging_0980/klagomålsmail/A 2223-2021 FSC-klagomål mail.docx", "A 2223-2021")</f>
        <v/>
      </c>
      <c r="X51">
        <f>HYPERLINK("https://klasma.github.io/Logging_0980/tillsyn/A 2223-2021 tillsynsbegäran.docx", "A 2223-2021")</f>
        <v/>
      </c>
      <c r="Y51">
        <f>HYPERLINK("https://klasma.github.io/Logging_0980/tillsynsmail/A 2223-2021 tillsynsbegäran mail.docx", "A 2223-2021")</f>
        <v/>
      </c>
    </row>
    <row r="52" ht="15" customHeight="1">
      <c r="A52" t="inlineStr">
        <is>
          <t>A 29331-2021</t>
        </is>
      </c>
      <c r="B52" s="1" t="n">
        <v>44361</v>
      </c>
      <c r="C52" s="1" t="n">
        <v>45213</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 artfynd.xlsx", "A 29331-2021")</f>
        <v/>
      </c>
      <c r="T52">
        <f>HYPERLINK("https://klasma.github.io/Logging_0980/kartor/A 29331-2021 karta.png", "A 29331-2021")</f>
        <v/>
      </c>
      <c r="V52">
        <f>HYPERLINK("https://klasma.github.io/Logging_0980/klagomål/A 29331-2021 FSC-klagomål.docx", "A 29331-2021")</f>
        <v/>
      </c>
      <c r="W52">
        <f>HYPERLINK("https://klasma.github.io/Logging_0980/klagomålsmail/A 29331-2021 FSC-klagomål mail.docx", "A 29331-2021")</f>
        <v/>
      </c>
      <c r="X52">
        <f>HYPERLINK("https://klasma.github.io/Logging_0980/tillsyn/A 29331-2021 tillsynsbegäran.docx", "A 29331-2021")</f>
        <v/>
      </c>
      <c r="Y52">
        <f>HYPERLINK("https://klasma.github.io/Logging_0980/tillsynsmail/A 29331-2021 tillsynsbegäran mail.docx", "A 29331-2021")</f>
        <v/>
      </c>
    </row>
    <row r="53" ht="15" customHeight="1">
      <c r="A53" t="inlineStr">
        <is>
          <t>A 44933-2022</t>
        </is>
      </c>
      <c r="B53" s="1" t="n">
        <v>44841</v>
      </c>
      <c r="C53" s="1" t="n">
        <v>45213</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 artfynd.xlsx", "A 44933-2022")</f>
        <v/>
      </c>
      <c r="T53">
        <f>HYPERLINK("https://klasma.github.io/Logging_0980/kartor/A 44933-2022 karta.png", "A 44933-2022")</f>
        <v/>
      </c>
      <c r="V53">
        <f>HYPERLINK("https://klasma.github.io/Logging_0980/klagomål/A 44933-2022 FSC-klagomål.docx", "A 44933-2022")</f>
        <v/>
      </c>
      <c r="W53">
        <f>HYPERLINK("https://klasma.github.io/Logging_0980/klagomålsmail/A 44933-2022 FSC-klagomål mail.docx", "A 44933-2022")</f>
        <v/>
      </c>
      <c r="X53">
        <f>HYPERLINK("https://klasma.github.io/Logging_0980/tillsyn/A 44933-2022 tillsynsbegäran.docx", "A 44933-2022")</f>
        <v/>
      </c>
      <c r="Y53">
        <f>HYPERLINK("https://klasma.github.io/Logging_0980/tillsynsmail/A 44933-2022 tillsynsbegäran mail.docx", "A 44933-2022")</f>
        <v/>
      </c>
    </row>
    <row r="54" ht="15" customHeight="1">
      <c r="A54" t="inlineStr">
        <is>
          <t>A 47526-2022</t>
        </is>
      </c>
      <c r="B54" s="1" t="n">
        <v>44853</v>
      </c>
      <c r="C54" s="1" t="n">
        <v>45213</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 artfynd.xlsx", "A 47526-2022")</f>
        <v/>
      </c>
      <c r="T54">
        <f>HYPERLINK("https://klasma.github.io/Logging_0980/kartor/A 47526-2022 karta.png", "A 47526-2022")</f>
        <v/>
      </c>
      <c r="V54">
        <f>HYPERLINK("https://klasma.github.io/Logging_0980/klagomål/A 47526-2022 FSC-klagomål.docx", "A 47526-2022")</f>
        <v/>
      </c>
      <c r="W54">
        <f>HYPERLINK("https://klasma.github.io/Logging_0980/klagomålsmail/A 47526-2022 FSC-klagomål mail.docx", "A 47526-2022")</f>
        <v/>
      </c>
      <c r="X54">
        <f>HYPERLINK("https://klasma.github.io/Logging_0980/tillsyn/A 47526-2022 tillsynsbegäran.docx", "A 47526-2022")</f>
        <v/>
      </c>
      <c r="Y54">
        <f>HYPERLINK("https://klasma.github.io/Logging_0980/tillsynsmail/A 47526-2022 tillsynsbegäran mail.docx", "A 47526-2022")</f>
        <v/>
      </c>
    </row>
    <row r="55" ht="15" customHeight="1">
      <c r="A55" t="inlineStr">
        <is>
          <t>A 186-2023</t>
        </is>
      </c>
      <c r="B55" s="1" t="n">
        <v>44928</v>
      </c>
      <c r="C55" s="1" t="n">
        <v>45213</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 artfynd.xlsx", "A 186-2023")</f>
        <v/>
      </c>
      <c r="T55">
        <f>HYPERLINK("https://klasma.github.io/Logging_0980/kartor/A 186-2023 karta.png", "A 186-2023")</f>
        <v/>
      </c>
      <c r="V55">
        <f>HYPERLINK("https://klasma.github.io/Logging_0980/klagomål/A 186-2023 FSC-klagomål.docx", "A 186-2023")</f>
        <v/>
      </c>
      <c r="W55">
        <f>HYPERLINK("https://klasma.github.io/Logging_0980/klagomålsmail/A 186-2023 FSC-klagomål mail.docx", "A 186-2023")</f>
        <v/>
      </c>
      <c r="X55">
        <f>HYPERLINK("https://klasma.github.io/Logging_0980/tillsyn/A 186-2023 tillsynsbegäran.docx", "A 186-2023")</f>
        <v/>
      </c>
      <c r="Y55">
        <f>HYPERLINK("https://klasma.github.io/Logging_0980/tillsynsmail/A 186-2023 tillsynsbegäran mail.docx", "A 186-2023")</f>
        <v/>
      </c>
    </row>
    <row r="56" ht="15" customHeight="1">
      <c r="A56" t="inlineStr">
        <is>
          <t>A 445-2023</t>
        </is>
      </c>
      <c r="B56" s="1" t="n">
        <v>44929</v>
      </c>
      <c r="C56" s="1" t="n">
        <v>45213</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 artfynd.xlsx", "A 445-2023")</f>
        <v/>
      </c>
      <c r="T56">
        <f>HYPERLINK("https://klasma.github.io/Logging_0980/kartor/A 445-2023 karta.png", "A 445-2023")</f>
        <v/>
      </c>
      <c r="V56">
        <f>HYPERLINK("https://klasma.github.io/Logging_0980/klagomål/A 445-2023 FSC-klagomål.docx", "A 445-2023")</f>
        <v/>
      </c>
      <c r="W56">
        <f>HYPERLINK("https://klasma.github.io/Logging_0980/klagomålsmail/A 445-2023 FSC-klagomål mail.docx", "A 445-2023")</f>
        <v/>
      </c>
      <c r="X56">
        <f>HYPERLINK("https://klasma.github.io/Logging_0980/tillsyn/A 445-2023 tillsynsbegäran.docx", "A 445-2023")</f>
        <v/>
      </c>
      <c r="Y56">
        <f>HYPERLINK("https://klasma.github.io/Logging_0980/tillsynsmail/A 445-2023 tillsynsbegäran mail.docx", "A 445-2023")</f>
        <v/>
      </c>
    </row>
    <row r="57" ht="15" customHeight="1">
      <c r="A57" t="inlineStr">
        <is>
          <t>A 584-2023</t>
        </is>
      </c>
      <c r="B57" s="1" t="n">
        <v>44930</v>
      </c>
      <c r="C57" s="1" t="n">
        <v>45213</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 artfynd.xlsx", "A 584-2023")</f>
        <v/>
      </c>
      <c r="T57">
        <f>HYPERLINK("https://klasma.github.io/Logging_0980/kartor/A 584-2023 karta.png", "A 584-2023")</f>
        <v/>
      </c>
      <c r="V57">
        <f>HYPERLINK("https://klasma.github.io/Logging_0980/klagomål/A 584-2023 FSC-klagomål.docx", "A 584-2023")</f>
        <v/>
      </c>
      <c r="W57">
        <f>HYPERLINK("https://klasma.github.io/Logging_0980/klagomålsmail/A 584-2023 FSC-klagomål mail.docx", "A 584-2023")</f>
        <v/>
      </c>
      <c r="X57">
        <f>HYPERLINK("https://klasma.github.io/Logging_0980/tillsyn/A 584-2023 tillsynsbegäran.docx", "A 584-2023")</f>
        <v/>
      </c>
      <c r="Y57">
        <f>HYPERLINK("https://klasma.github.io/Logging_0980/tillsynsmail/A 584-2023 tillsynsbegäran mail.docx", "A 584-2023")</f>
        <v/>
      </c>
    </row>
    <row r="58" ht="15" customHeight="1">
      <c r="A58" t="inlineStr">
        <is>
          <t>A 6159-2023</t>
        </is>
      </c>
      <c r="B58" s="1" t="n">
        <v>44964</v>
      </c>
      <c r="C58" s="1" t="n">
        <v>45213</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 artfynd.xlsx", "A 6159-2023")</f>
        <v/>
      </c>
      <c r="T58">
        <f>HYPERLINK("https://klasma.github.io/Logging_0980/kartor/A 6159-2023 karta.png", "A 6159-2023")</f>
        <v/>
      </c>
      <c r="V58">
        <f>HYPERLINK("https://klasma.github.io/Logging_0980/klagomål/A 6159-2023 FSC-klagomål.docx", "A 6159-2023")</f>
        <v/>
      </c>
      <c r="W58">
        <f>HYPERLINK("https://klasma.github.io/Logging_0980/klagomålsmail/A 6159-2023 FSC-klagomål mail.docx", "A 6159-2023")</f>
        <v/>
      </c>
      <c r="X58">
        <f>HYPERLINK("https://klasma.github.io/Logging_0980/tillsyn/A 6159-2023 tillsynsbegäran.docx", "A 6159-2023")</f>
        <v/>
      </c>
      <c r="Y58">
        <f>HYPERLINK("https://klasma.github.io/Logging_0980/tillsynsmail/A 6159-2023 tillsynsbegäran mail.docx", "A 6159-2023")</f>
        <v/>
      </c>
    </row>
    <row r="59" ht="15" customHeight="1">
      <c r="A59" t="inlineStr">
        <is>
          <t>A 45682-2023</t>
        </is>
      </c>
      <c r="B59" s="1" t="n">
        <v>45195</v>
      </c>
      <c r="C59" s="1" t="n">
        <v>45213</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 artfynd.xlsx", "A 45682-2023")</f>
        <v/>
      </c>
      <c r="T59">
        <f>HYPERLINK("https://klasma.github.io/Logging_0980/kartor/A 45682-2023 karta.png", "A 45682-2023")</f>
        <v/>
      </c>
      <c r="V59">
        <f>HYPERLINK("https://klasma.github.io/Logging_0980/klagomål/A 45682-2023 FSC-klagomål.docx", "A 45682-2023")</f>
        <v/>
      </c>
      <c r="W59">
        <f>HYPERLINK("https://klasma.github.io/Logging_0980/klagomålsmail/A 45682-2023 FSC-klagomål mail.docx", "A 45682-2023")</f>
        <v/>
      </c>
      <c r="X59">
        <f>HYPERLINK("https://klasma.github.io/Logging_0980/tillsyn/A 45682-2023 tillsynsbegäran.docx", "A 45682-2023")</f>
        <v/>
      </c>
      <c r="Y59">
        <f>HYPERLINK("https://klasma.github.io/Logging_0980/tillsynsmail/A 45682-2023 tillsynsbegäran mail.docx", "A 45682-2023")</f>
        <v/>
      </c>
    </row>
    <row r="60" ht="15" customHeight="1">
      <c r="A60" t="inlineStr">
        <is>
          <t>A 52322-2018</t>
        </is>
      </c>
      <c r="B60" s="1" t="n">
        <v>43388</v>
      </c>
      <c r="C60" s="1" t="n">
        <v>45213</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 artfynd.xlsx", "A 52322-2018")</f>
        <v/>
      </c>
      <c r="T60">
        <f>HYPERLINK("https://klasma.github.io/Logging_0980/kartor/A 52322-2018 karta.png", "A 52322-2018")</f>
        <v/>
      </c>
      <c r="V60">
        <f>HYPERLINK("https://klasma.github.io/Logging_0980/klagomål/A 52322-2018 FSC-klagomål.docx", "A 52322-2018")</f>
        <v/>
      </c>
      <c r="W60">
        <f>HYPERLINK("https://klasma.github.io/Logging_0980/klagomålsmail/A 52322-2018 FSC-klagomål mail.docx", "A 52322-2018")</f>
        <v/>
      </c>
      <c r="X60">
        <f>HYPERLINK("https://klasma.github.io/Logging_0980/tillsyn/A 52322-2018 tillsynsbegäran.docx", "A 52322-2018")</f>
        <v/>
      </c>
      <c r="Y60">
        <f>HYPERLINK("https://klasma.github.io/Logging_0980/tillsynsmail/A 52322-2018 tillsynsbegäran mail.docx", "A 52322-2018")</f>
        <v/>
      </c>
    </row>
    <row r="61" ht="15" customHeight="1">
      <c r="A61" t="inlineStr">
        <is>
          <t>A 1878-2019</t>
        </is>
      </c>
      <c r="B61" s="1" t="n">
        <v>43474</v>
      </c>
      <c r="C61" s="1" t="n">
        <v>45213</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 artfynd.xlsx", "A 1878-2019")</f>
        <v/>
      </c>
      <c r="T61">
        <f>HYPERLINK("https://klasma.github.io/Logging_0980/kartor/A 1878-2019 karta.png", "A 1878-2019")</f>
        <v/>
      </c>
      <c r="V61">
        <f>HYPERLINK("https://klasma.github.io/Logging_0980/klagomål/A 1878-2019 FSC-klagomål.docx", "A 1878-2019")</f>
        <v/>
      </c>
      <c r="W61">
        <f>HYPERLINK("https://klasma.github.io/Logging_0980/klagomålsmail/A 1878-2019 FSC-klagomål mail.docx", "A 1878-2019")</f>
        <v/>
      </c>
      <c r="X61">
        <f>HYPERLINK("https://klasma.github.io/Logging_0980/tillsyn/A 1878-2019 tillsynsbegäran.docx", "A 1878-2019")</f>
        <v/>
      </c>
      <c r="Y61">
        <f>HYPERLINK("https://klasma.github.io/Logging_0980/tillsynsmail/A 1878-2019 tillsynsbegäran mail.docx", "A 1878-2019")</f>
        <v/>
      </c>
    </row>
    <row r="62" ht="15" customHeight="1">
      <c r="A62" t="inlineStr">
        <is>
          <t>A 4045-2019</t>
        </is>
      </c>
      <c r="B62" s="1" t="n">
        <v>43482</v>
      </c>
      <c r="C62" s="1" t="n">
        <v>45213</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 artfynd.xlsx", "A 4045-2019")</f>
        <v/>
      </c>
      <c r="T62">
        <f>HYPERLINK("https://klasma.github.io/Logging_0980/kartor/A 4045-2019 karta.png", "A 4045-2019")</f>
        <v/>
      </c>
      <c r="U62">
        <f>HYPERLINK("https://klasma.github.io/Logging_0980/knärot/A 4045-2019 karta knärot.png", "A 4045-2019")</f>
        <v/>
      </c>
      <c r="V62">
        <f>HYPERLINK("https://klasma.github.io/Logging_0980/klagomål/A 4045-2019 FSC-klagomål.docx", "A 4045-2019")</f>
        <v/>
      </c>
      <c r="W62">
        <f>HYPERLINK("https://klasma.github.io/Logging_0980/klagomålsmail/A 4045-2019 FSC-klagomål mail.docx", "A 4045-2019")</f>
        <v/>
      </c>
      <c r="X62">
        <f>HYPERLINK("https://klasma.github.io/Logging_0980/tillsyn/A 4045-2019 tillsynsbegäran.docx", "A 4045-2019")</f>
        <v/>
      </c>
      <c r="Y62">
        <f>HYPERLINK("https://klasma.github.io/Logging_0980/tillsynsmail/A 4045-2019 tillsynsbegäran mail.docx", "A 4045-2019")</f>
        <v/>
      </c>
    </row>
    <row r="63" ht="15" customHeight="1">
      <c r="A63" t="inlineStr">
        <is>
          <t>A 21897-2019</t>
        </is>
      </c>
      <c r="B63" s="1" t="n">
        <v>43584</v>
      </c>
      <c r="C63" s="1" t="n">
        <v>45213</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 artfynd.xlsx", "A 21897-2019")</f>
        <v/>
      </c>
      <c r="T63">
        <f>HYPERLINK("https://klasma.github.io/Logging_0980/kartor/A 21897-2019 karta.png", "A 21897-2019")</f>
        <v/>
      </c>
      <c r="V63">
        <f>HYPERLINK("https://klasma.github.io/Logging_0980/klagomål/A 21897-2019 FSC-klagomål.docx", "A 21897-2019")</f>
        <v/>
      </c>
      <c r="W63">
        <f>HYPERLINK("https://klasma.github.io/Logging_0980/klagomålsmail/A 21897-2019 FSC-klagomål mail.docx", "A 21897-2019")</f>
        <v/>
      </c>
      <c r="X63">
        <f>HYPERLINK("https://klasma.github.io/Logging_0980/tillsyn/A 21897-2019 tillsynsbegäran.docx", "A 21897-2019")</f>
        <v/>
      </c>
      <c r="Y63">
        <f>HYPERLINK("https://klasma.github.io/Logging_0980/tillsynsmail/A 21897-2019 tillsynsbegäran mail.docx", "A 21897-2019")</f>
        <v/>
      </c>
    </row>
    <row r="64" ht="15" customHeight="1">
      <c r="A64" t="inlineStr">
        <is>
          <t>A 66053-2019</t>
        </is>
      </c>
      <c r="B64" s="1" t="n">
        <v>43806</v>
      </c>
      <c r="C64" s="1" t="n">
        <v>45213</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 artfynd.xlsx", "A 66053-2019")</f>
        <v/>
      </c>
      <c r="T64">
        <f>HYPERLINK("https://klasma.github.io/Logging_0980/kartor/A 66053-2019 karta.png", "A 66053-2019")</f>
        <v/>
      </c>
      <c r="V64">
        <f>HYPERLINK("https://klasma.github.io/Logging_0980/klagomål/A 66053-2019 FSC-klagomål.docx", "A 66053-2019")</f>
        <v/>
      </c>
      <c r="W64">
        <f>HYPERLINK("https://klasma.github.io/Logging_0980/klagomålsmail/A 66053-2019 FSC-klagomål mail.docx", "A 66053-2019")</f>
        <v/>
      </c>
      <c r="X64">
        <f>HYPERLINK("https://klasma.github.io/Logging_0980/tillsyn/A 66053-2019 tillsynsbegäran.docx", "A 66053-2019")</f>
        <v/>
      </c>
      <c r="Y64">
        <f>HYPERLINK("https://klasma.github.io/Logging_0980/tillsynsmail/A 66053-2019 tillsynsbegäran mail.docx", "A 66053-2019")</f>
        <v/>
      </c>
    </row>
    <row r="65" ht="15" customHeight="1">
      <c r="A65" t="inlineStr">
        <is>
          <t>A 3218-2020</t>
        </is>
      </c>
      <c r="B65" s="1" t="n">
        <v>43851</v>
      </c>
      <c r="C65" s="1" t="n">
        <v>45213</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 artfynd.xlsx", "A 3218-2020")</f>
        <v/>
      </c>
      <c r="T65">
        <f>HYPERLINK("https://klasma.github.io/Logging_0980/kartor/A 3218-2020 karta.png", "A 3218-2020")</f>
        <v/>
      </c>
      <c r="V65">
        <f>HYPERLINK("https://klasma.github.io/Logging_0980/klagomål/A 3218-2020 FSC-klagomål.docx", "A 3218-2020")</f>
        <v/>
      </c>
      <c r="W65">
        <f>HYPERLINK("https://klasma.github.io/Logging_0980/klagomålsmail/A 3218-2020 FSC-klagomål mail.docx", "A 3218-2020")</f>
        <v/>
      </c>
      <c r="X65">
        <f>HYPERLINK("https://klasma.github.io/Logging_0980/tillsyn/A 3218-2020 tillsynsbegäran.docx", "A 3218-2020")</f>
        <v/>
      </c>
      <c r="Y65">
        <f>HYPERLINK("https://klasma.github.io/Logging_0980/tillsynsmail/A 3218-2020 tillsynsbegäran mail.docx", "A 3218-2020")</f>
        <v/>
      </c>
    </row>
    <row r="66" ht="15" customHeight="1">
      <c r="A66" t="inlineStr">
        <is>
          <t>A 7156-2020</t>
        </is>
      </c>
      <c r="B66" s="1" t="n">
        <v>43870</v>
      </c>
      <c r="C66" s="1" t="n">
        <v>45213</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 artfynd.xlsx", "A 7156-2020")</f>
        <v/>
      </c>
      <c r="T66">
        <f>HYPERLINK("https://klasma.github.io/Logging_0980/kartor/A 7156-2020 karta.png", "A 7156-2020")</f>
        <v/>
      </c>
      <c r="V66">
        <f>HYPERLINK("https://klasma.github.io/Logging_0980/klagomål/A 7156-2020 FSC-klagomål.docx", "A 7156-2020")</f>
        <v/>
      </c>
      <c r="W66">
        <f>HYPERLINK("https://klasma.github.io/Logging_0980/klagomålsmail/A 7156-2020 FSC-klagomål mail.docx", "A 7156-2020")</f>
        <v/>
      </c>
      <c r="X66">
        <f>HYPERLINK("https://klasma.github.io/Logging_0980/tillsyn/A 7156-2020 tillsynsbegäran.docx", "A 7156-2020")</f>
        <v/>
      </c>
      <c r="Y66">
        <f>HYPERLINK("https://klasma.github.io/Logging_0980/tillsynsmail/A 7156-2020 tillsynsbegäran mail.docx", "A 7156-2020")</f>
        <v/>
      </c>
    </row>
    <row r="67" ht="15" customHeight="1">
      <c r="A67" t="inlineStr">
        <is>
          <t>A 10707-2020</t>
        </is>
      </c>
      <c r="B67" s="1" t="n">
        <v>43888</v>
      </c>
      <c r="C67" s="1" t="n">
        <v>45213</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 artfynd.xlsx", "A 10707-2020")</f>
        <v/>
      </c>
      <c r="T67">
        <f>HYPERLINK("https://klasma.github.io/Logging_0980/kartor/A 10707-2020 karta.png", "A 10707-2020")</f>
        <v/>
      </c>
      <c r="V67">
        <f>HYPERLINK("https://klasma.github.io/Logging_0980/klagomål/A 10707-2020 FSC-klagomål.docx", "A 10707-2020")</f>
        <v/>
      </c>
      <c r="W67">
        <f>HYPERLINK("https://klasma.github.io/Logging_0980/klagomålsmail/A 10707-2020 FSC-klagomål mail.docx", "A 10707-2020")</f>
        <v/>
      </c>
      <c r="X67">
        <f>HYPERLINK("https://klasma.github.io/Logging_0980/tillsyn/A 10707-2020 tillsynsbegäran.docx", "A 10707-2020")</f>
        <v/>
      </c>
      <c r="Y67">
        <f>HYPERLINK("https://klasma.github.io/Logging_0980/tillsynsmail/A 10707-2020 tillsynsbegäran mail.docx", "A 10707-2020")</f>
        <v/>
      </c>
    </row>
    <row r="68" ht="15" customHeight="1">
      <c r="A68" t="inlineStr">
        <is>
          <t>A 55029-2020</t>
        </is>
      </c>
      <c r="B68" s="1" t="n">
        <v>44130</v>
      </c>
      <c r="C68" s="1" t="n">
        <v>45213</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 artfynd.xlsx", "A 55029-2020")</f>
        <v/>
      </c>
      <c r="T68">
        <f>HYPERLINK("https://klasma.github.io/Logging_0980/kartor/A 55029-2020 karta.png", "A 55029-2020")</f>
        <v/>
      </c>
      <c r="V68">
        <f>HYPERLINK("https://klasma.github.io/Logging_0980/klagomål/A 55029-2020 FSC-klagomål.docx", "A 55029-2020")</f>
        <v/>
      </c>
      <c r="W68">
        <f>HYPERLINK("https://klasma.github.io/Logging_0980/klagomålsmail/A 55029-2020 FSC-klagomål mail.docx", "A 55029-2020")</f>
        <v/>
      </c>
      <c r="X68">
        <f>HYPERLINK("https://klasma.github.io/Logging_0980/tillsyn/A 55029-2020 tillsynsbegäran.docx", "A 55029-2020")</f>
        <v/>
      </c>
      <c r="Y68">
        <f>HYPERLINK("https://klasma.github.io/Logging_0980/tillsynsmail/A 55029-2020 tillsynsbegäran mail.docx", "A 55029-2020")</f>
        <v/>
      </c>
    </row>
    <row r="69" ht="15" customHeight="1">
      <c r="A69" t="inlineStr">
        <is>
          <t>A 62326-2020</t>
        </is>
      </c>
      <c r="B69" s="1" t="n">
        <v>44160</v>
      </c>
      <c r="C69" s="1" t="n">
        <v>45213</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 artfynd.xlsx", "A 62326-2020")</f>
        <v/>
      </c>
      <c r="T69">
        <f>HYPERLINK("https://klasma.github.io/Logging_0980/kartor/A 62326-2020 karta.png", "A 62326-2020")</f>
        <v/>
      </c>
      <c r="V69">
        <f>HYPERLINK("https://klasma.github.io/Logging_0980/klagomål/A 62326-2020 FSC-klagomål.docx", "A 62326-2020")</f>
        <v/>
      </c>
      <c r="W69">
        <f>HYPERLINK("https://klasma.github.io/Logging_0980/klagomålsmail/A 62326-2020 FSC-klagomål mail.docx", "A 62326-2020")</f>
        <v/>
      </c>
      <c r="X69">
        <f>HYPERLINK("https://klasma.github.io/Logging_0980/tillsyn/A 62326-2020 tillsynsbegäran.docx", "A 62326-2020")</f>
        <v/>
      </c>
      <c r="Y69">
        <f>HYPERLINK("https://klasma.github.io/Logging_0980/tillsynsmail/A 62326-2020 tillsynsbegäran mail.docx", "A 62326-2020")</f>
        <v/>
      </c>
    </row>
    <row r="70" ht="15" customHeight="1">
      <c r="A70" t="inlineStr">
        <is>
          <t>A 2332-2021</t>
        </is>
      </c>
      <c r="B70" s="1" t="n">
        <v>44214</v>
      </c>
      <c r="C70" s="1" t="n">
        <v>45213</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 artfynd.xlsx", "A 2332-2021")</f>
        <v/>
      </c>
      <c r="T70">
        <f>HYPERLINK("https://klasma.github.io/Logging_0980/kartor/A 2332-2021 karta.png", "A 2332-2021")</f>
        <v/>
      </c>
      <c r="V70">
        <f>HYPERLINK("https://klasma.github.io/Logging_0980/klagomål/A 2332-2021 FSC-klagomål.docx", "A 2332-2021")</f>
        <v/>
      </c>
      <c r="W70">
        <f>HYPERLINK("https://klasma.github.io/Logging_0980/klagomålsmail/A 2332-2021 FSC-klagomål mail.docx", "A 2332-2021")</f>
        <v/>
      </c>
      <c r="X70">
        <f>HYPERLINK("https://klasma.github.io/Logging_0980/tillsyn/A 2332-2021 tillsynsbegäran.docx", "A 2332-2021")</f>
        <v/>
      </c>
      <c r="Y70">
        <f>HYPERLINK("https://klasma.github.io/Logging_0980/tillsynsmail/A 2332-2021 tillsynsbegäran mail.docx", "A 2332-2021")</f>
        <v/>
      </c>
    </row>
    <row r="71" ht="15" customHeight="1">
      <c r="A71" t="inlineStr">
        <is>
          <t>A 12519-2021</t>
        </is>
      </c>
      <c r="B71" s="1" t="n">
        <v>44269</v>
      </c>
      <c r="C71" s="1" t="n">
        <v>45213</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 artfynd.xlsx", "A 12519-2021")</f>
        <v/>
      </c>
      <c r="T71">
        <f>HYPERLINK("https://klasma.github.io/Logging_0980/kartor/A 12519-2021 karta.png", "A 12519-2021")</f>
        <v/>
      </c>
      <c r="V71">
        <f>HYPERLINK("https://klasma.github.io/Logging_0980/klagomål/A 12519-2021 FSC-klagomål.docx", "A 12519-2021")</f>
        <v/>
      </c>
      <c r="W71">
        <f>HYPERLINK("https://klasma.github.io/Logging_0980/klagomålsmail/A 12519-2021 FSC-klagomål mail.docx", "A 12519-2021")</f>
        <v/>
      </c>
      <c r="X71">
        <f>HYPERLINK("https://klasma.github.io/Logging_0980/tillsyn/A 12519-2021 tillsynsbegäran.docx", "A 12519-2021")</f>
        <v/>
      </c>
      <c r="Y71">
        <f>HYPERLINK("https://klasma.github.io/Logging_0980/tillsynsmail/A 12519-2021 tillsynsbegäran mail.docx", "A 12519-2021")</f>
        <v/>
      </c>
    </row>
    <row r="72" ht="15" customHeight="1">
      <c r="A72" t="inlineStr">
        <is>
          <t>A 32718-2021</t>
        </is>
      </c>
      <c r="B72" s="1" t="n">
        <v>44375</v>
      </c>
      <c r="C72" s="1" t="n">
        <v>45213</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 artfynd.xlsx", "A 32718-2021")</f>
        <v/>
      </c>
      <c r="T72">
        <f>HYPERLINK("https://klasma.github.io/Logging_0980/kartor/A 32718-2021 karta.png", "A 32718-2021")</f>
        <v/>
      </c>
      <c r="V72">
        <f>HYPERLINK("https://klasma.github.io/Logging_0980/klagomål/A 32718-2021 FSC-klagomål.docx", "A 32718-2021")</f>
        <v/>
      </c>
      <c r="W72">
        <f>HYPERLINK("https://klasma.github.io/Logging_0980/klagomålsmail/A 32718-2021 FSC-klagomål mail.docx", "A 32718-2021")</f>
        <v/>
      </c>
      <c r="X72">
        <f>HYPERLINK("https://klasma.github.io/Logging_0980/tillsyn/A 32718-2021 tillsynsbegäran.docx", "A 32718-2021")</f>
        <v/>
      </c>
      <c r="Y72">
        <f>HYPERLINK("https://klasma.github.io/Logging_0980/tillsynsmail/A 32718-2021 tillsynsbegäran mail.docx", "A 32718-2021")</f>
        <v/>
      </c>
    </row>
    <row r="73" ht="15" customHeight="1">
      <c r="A73" t="inlineStr">
        <is>
          <t>A 32666-2021</t>
        </is>
      </c>
      <c r="B73" s="1" t="n">
        <v>44375</v>
      </c>
      <c r="C73" s="1" t="n">
        <v>45213</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 artfynd.xlsx", "A 32666-2021")</f>
        <v/>
      </c>
      <c r="T73">
        <f>HYPERLINK("https://klasma.github.io/Logging_0980/kartor/A 32666-2021 karta.png", "A 32666-2021")</f>
        <v/>
      </c>
      <c r="V73">
        <f>HYPERLINK("https://klasma.github.io/Logging_0980/klagomål/A 32666-2021 FSC-klagomål.docx", "A 32666-2021")</f>
        <v/>
      </c>
      <c r="W73">
        <f>HYPERLINK("https://klasma.github.io/Logging_0980/klagomålsmail/A 32666-2021 FSC-klagomål mail.docx", "A 32666-2021")</f>
        <v/>
      </c>
      <c r="X73">
        <f>HYPERLINK("https://klasma.github.io/Logging_0980/tillsyn/A 32666-2021 tillsynsbegäran.docx", "A 32666-2021")</f>
        <v/>
      </c>
      <c r="Y73">
        <f>HYPERLINK("https://klasma.github.io/Logging_0980/tillsynsmail/A 32666-2021 tillsynsbegäran mail.docx", "A 32666-2021")</f>
        <v/>
      </c>
    </row>
    <row r="74" ht="15" customHeight="1">
      <c r="A74" t="inlineStr">
        <is>
          <t>A 53552-2021</t>
        </is>
      </c>
      <c r="B74" s="1" t="n">
        <v>44468</v>
      </c>
      <c r="C74" s="1" t="n">
        <v>45213</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 artfynd.xlsx", "A 53552-2021")</f>
        <v/>
      </c>
      <c r="T74">
        <f>HYPERLINK("https://klasma.github.io/Logging_0980/kartor/A 53552-2021 karta.png", "A 53552-2021")</f>
        <v/>
      </c>
      <c r="V74">
        <f>HYPERLINK("https://klasma.github.io/Logging_0980/klagomål/A 53552-2021 FSC-klagomål.docx", "A 53552-2021")</f>
        <v/>
      </c>
      <c r="W74">
        <f>HYPERLINK("https://klasma.github.io/Logging_0980/klagomålsmail/A 53552-2021 FSC-klagomål mail.docx", "A 53552-2021")</f>
        <v/>
      </c>
      <c r="X74">
        <f>HYPERLINK("https://klasma.github.io/Logging_0980/tillsyn/A 53552-2021 tillsynsbegäran.docx", "A 53552-2021")</f>
        <v/>
      </c>
      <c r="Y74">
        <f>HYPERLINK("https://klasma.github.io/Logging_0980/tillsynsmail/A 53552-2021 tillsynsbegäran mail.docx", "A 53552-2021")</f>
        <v/>
      </c>
    </row>
    <row r="75" ht="15" customHeight="1">
      <c r="A75" t="inlineStr">
        <is>
          <t>A 58821-2021</t>
        </is>
      </c>
      <c r="B75" s="1" t="n">
        <v>44489</v>
      </c>
      <c r="C75" s="1" t="n">
        <v>45213</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 artfynd.xlsx", "A 58821-2021")</f>
        <v/>
      </c>
      <c r="T75">
        <f>HYPERLINK("https://klasma.github.io/Logging_0980/kartor/A 58821-2021 karta.png", "A 58821-2021")</f>
        <v/>
      </c>
      <c r="V75">
        <f>HYPERLINK("https://klasma.github.io/Logging_0980/klagomål/A 58821-2021 FSC-klagomål.docx", "A 58821-2021")</f>
        <v/>
      </c>
      <c r="W75">
        <f>HYPERLINK("https://klasma.github.io/Logging_0980/klagomålsmail/A 58821-2021 FSC-klagomål mail.docx", "A 58821-2021")</f>
        <v/>
      </c>
      <c r="X75">
        <f>HYPERLINK("https://klasma.github.io/Logging_0980/tillsyn/A 58821-2021 tillsynsbegäran.docx", "A 58821-2021")</f>
        <v/>
      </c>
      <c r="Y75">
        <f>HYPERLINK("https://klasma.github.io/Logging_0980/tillsynsmail/A 58821-2021 tillsynsbegäran mail.docx", "A 58821-2021")</f>
        <v/>
      </c>
    </row>
    <row r="76" ht="15" customHeight="1">
      <c r="A76" t="inlineStr">
        <is>
          <t>A 43074-2022</t>
        </is>
      </c>
      <c r="B76" s="1" t="n">
        <v>44833</v>
      </c>
      <c r="C76" s="1" t="n">
        <v>45213</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 artfynd.xlsx", "A 43074-2022")</f>
        <v/>
      </c>
      <c r="T76">
        <f>HYPERLINK("https://klasma.github.io/Logging_0980/kartor/A 43074-2022 karta.png", "A 43074-2022")</f>
        <v/>
      </c>
      <c r="V76">
        <f>HYPERLINK("https://klasma.github.io/Logging_0980/klagomål/A 43074-2022 FSC-klagomål.docx", "A 43074-2022")</f>
        <v/>
      </c>
      <c r="W76">
        <f>HYPERLINK("https://klasma.github.io/Logging_0980/klagomålsmail/A 43074-2022 FSC-klagomål mail.docx", "A 43074-2022")</f>
        <v/>
      </c>
      <c r="X76">
        <f>HYPERLINK("https://klasma.github.io/Logging_0980/tillsyn/A 43074-2022 tillsynsbegäran.docx", "A 43074-2022")</f>
        <v/>
      </c>
      <c r="Y76">
        <f>HYPERLINK("https://klasma.github.io/Logging_0980/tillsynsmail/A 43074-2022 tillsynsbegäran mail.docx", "A 43074-2022")</f>
        <v/>
      </c>
    </row>
    <row r="77" ht="15" customHeight="1">
      <c r="A77" t="inlineStr">
        <is>
          <t>A 43013-2022</t>
        </is>
      </c>
      <c r="B77" s="1" t="n">
        <v>44833</v>
      </c>
      <c r="C77" s="1" t="n">
        <v>45213</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 artfynd.xlsx", "A 43013-2022")</f>
        <v/>
      </c>
      <c r="T77">
        <f>HYPERLINK("https://klasma.github.io/Logging_0980/kartor/A 43013-2022 karta.png", "A 43013-2022")</f>
        <v/>
      </c>
      <c r="V77">
        <f>HYPERLINK("https://klasma.github.io/Logging_0980/klagomål/A 43013-2022 FSC-klagomål.docx", "A 43013-2022")</f>
        <v/>
      </c>
      <c r="W77">
        <f>HYPERLINK("https://klasma.github.io/Logging_0980/klagomålsmail/A 43013-2022 FSC-klagomål mail.docx", "A 43013-2022")</f>
        <v/>
      </c>
      <c r="X77">
        <f>HYPERLINK("https://klasma.github.io/Logging_0980/tillsyn/A 43013-2022 tillsynsbegäran.docx", "A 43013-2022")</f>
        <v/>
      </c>
      <c r="Y77">
        <f>HYPERLINK("https://klasma.github.io/Logging_0980/tillsynsmail/A 43013-2022 tillsynsbegäran mail.docx", "A 43013-2022")</f>
        <v/>
      </c>
    </row>
    <row r="78" ht="15" customHeight="1">
      <c r="A78" t="inlineStr">
        <is>
          <t>A 44913-2022</t>
        </is>
      </c>
      <c r="B78" s="1" t="n">
        <v>44841</v>
      </c>
      <c r="C78" s="1" t="n">
        <v>45213</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 artfynd.xlsx", "A 44913-2022")</f>
        <v/>
      </c>
      <c r="T78">
        <f>HYPERLINK("https://klasma.github.io/Logging_0980/kartor/A 44913-2022 karta.png", "A 44913-2022")</f>
        <v/>
      </c>
      <c r="V78">
        <f>HYPERLINK("https://klasma.github.io/Logging_0980/klagomål/A 44913-2022 FSC-klagomål.docx", "A 44913-2022")</f>
        <v/>
      </c>
      <c r="W78">
        <f>HYPERLINK("https://klasma.github.io/Logging_0980/klagomålsmail/A 44913-2022 FSC-klagomål mail.docx", "A 44913-2022")</f>
        <v/>
      </c>
      <c r="X78">
        <f>HYPERLINK("https://klasma.github.io/Logging_0980/tillsyn/A 44913-2022 tillsynsbegäran.docx", "A 44913-2022")</f>
        <v/>
      </c>
      <c r="Y78">
        <f>HYPERLINK("https://klasma.github.io/Logging_0980/tillsynsmail/A 44913-2022 tillsynsbegäran mail.docx", "A 44913-2022")</f>
        <v/>
      </c>
    </row>
    <row r="79" ht="15" customHeight="1">
      <c r="A79" t="inlineStr">
        <is>
          <t>A 49809-2022</t>
        </is>
      </c>
      <c r="B79" s="1" t="n">
        <v>44862</v>
      </c>
      <c r="C79" s="1" t="n">
        <v>45213</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 artfynd.xlsx", "A 49809-2022")</f>
        <v/>
      </c>
      <c r="T79">
        <f>HYPERLINK("https://klasma.github.io/Logging_0980/kartor/A 49809-2022 karta.png", "A 49809-2022")</f>
        <v/>
      </c>
      <c r="V79">
        <f>HYPERLINK("https://klasma.github.io/Logging_0980/klagomål/A 49809-2022 FSC-klagomål.docx", "A 49809-2022")</f>
        <v/>
      </c>
      <c r="W79">
        <f>HYPERLINK("https://klasma.github.io/Logging_0980/klagomålsmail/A 49809-2022 FSC-klagomål mail.docx", "A 49809-2022")</f>
        <v/>
      </c>
      <c r="X79">
        <f>HYPERLINK("https://klasma.github.io/Logging_0980/tillsyn/A 49809-2022 tillsynsbegäran.docx", "A 49809-2022")</f>
        <v/>
      </c>
      <c r="Y79">
        <f>HYPERLINK("https://klasma.github.io/Logging_0980/tillsynsmail/A 49809-2022 tillsynsbegäran mail.docx", "A 49809-2022")</f>
        <v/>
      </c>
    </row>
    <row r="80" ht="15" customHeight="1">
      <c r="A80" t="inlineStr">
        <is>
          <t>A 1971-2023</t>
        </is>
      </c>
      <c r="B80" s="1" t="n">
        <v>44939</v>
      </c>
      <c r="C80" s="1" t="n">
        <v>45213</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 artfynd.xlsx", "A 1971-2023")</f>
        <v/>
      </c>
      <c r="T80">
        <f>HYPERLINK("https://klasma.github.io/Logging_0980/kartor/A 1971-2023 karta.png", "A 1971-2023")</f>
        <v/>
      </c>
      <c r="V80">
        <f>HYPERLINK("https://klasma.github.io/Logging_0980/klagomål/A 1971-2023 FSC-klagomål.docx", "A 1971-2023")</f>
        <v/>
      </c>
      <c r="W80">
        <f>HYPERLINK("https://klasma.github.io/Logging_0980/klagomålsmail/A 1971-2023 FSC-klagomål mail.docx", "A 1971-2023")</f>
        <v/>
      </c>
      <c r="X80">
        <f>HYPERLINK("https://klasma.github.io/Logging_0980/tillsyn/A 1971-2023 tillsynsbegäran.docx", "A 1971-2023")</f>
        <v/>
      </c>
      <c r="Y80">
        <f>HYPERLINK("https://klasma.github.io/Logging_0980/tillsynsmail/A 1971-2023 tillsynsbegäran mail.docx", "A 1971-2023")</f>
        <v/>
      </c>
    </row>
    <row r="81" ht="15" customHeight="1">
      <c r="A81" t="inlineStr">
        <is>
          <t>A 17982-2023</t>
        </is>
      </c>
      <c r="B81" s="1" t="n">
        <v>45040</v>
      </c>
      <c r="C81" s="1" t="n">
        <v>45213</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 artfynd.xlsx", "A 17982-2023")</f>
        <v/>
      </c>
      <c r="T81">
        <f>HYPERLINK("https://klasma.github.io/Logging_0980/kartor/A 17982-2023 karta.png", "A 17982-2023")</f>
        <v/>
      </c>
      <c r="V81">
        <f>HYPERLINK("https://klasma.github.io/Logging_0980/klagomål/A 17982-2023 FSC-klagomål.docx", "A 17982-2023")</f>
        <v/>
      </c>
      <c r="W81">
        <f>HYPERLINK("https://klasma.github.io/Logging_0980/klagomålsmail/A 17982-2023 FSC-klagomål mail.docx", "A 17982-2023")</f>
        <v/>
      </c>
      <c r="X81">
        <f>HYPERLINK("https://klasma.github.io/Logging_0980/tillsyn/A 17982-2023 tillsynsbegäran.docx", "A 17982-2023")</f>
        <v/>
      </c>
      <c r="Y81">
        <f>HYPERLINK("https://klasma.github.io/Logging_0980/tillsynsmail/A 17982-2023 tillsynsbegäran mail.docx", "A 17982-2023")</f>
        <v/>
      </c>
    </row>
    <row r="82" ht="15" customHeight="1">
      <c r="A82" t="inlineStr">
        <is>
          <t>A 27041-2023</t>
        </is>
      </c>
      <c r="B82" s="1" t="n">
        <v>45095</v>
      </c>
      <c r="C82" s="1" t="n">
        <v>45213</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 artfynd.xlsx", "A 27041-2023")</f>
        <v/>
      </c>
      <c r="T82">
        <f>HYPERLINK("https://klasma.github.io/Logging_0980/kartor/A 27041-2023 karta.png", "A 27041-2023")</f>
        <v/>
      </c>
      <c r="V82">
        <f>HYPERLINK("https://klasma.github.io/Logging_0980/klagomål/A 27041-2023 FSC-klagomål.docx", "A 27041-2023")</f>
        <v/>
      </c>
      <c r="W82">
        <f>HYPERLINK("https://klasma.github.io/Logging_0980/klagomålsmail/A 27041-2023 FSC-klagomål mail.docx", "A 27041-2023")</f>
        <v/>
      </c>
      <c r="X82">
        <f>HYPERLINK("https://klasma.github.io/Logging_0980/tillsyn/A 27041-2023 tillsynsbegäran.docx", "A 27041-2023")</f>
        <v/>
      </c>
      <c r="Y82">
        <f>HYPERLINK("https://klasma.github.io/Logging_0980/tillsynsmail/A 27041-2023 tillsynsbegäran mail.docx", "A 27041-2023")</f>
        <v/>
      </c>
    </row>
    <row r="83" ht="15" customHeight="1">
      <c r="A83" t="inlineStr">
        <is>
          <t>A 40678-2018</t>
        </is>
      </c>
      <c r="B83" s="1" t="n">
        <v>43346</v>
      </c>
      <c r="C83" s="1" t="n">
        <v>45213</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 artfynd.xlsx", "A 40678-2018")</f>
        <v/>
      </c>
      <c r="T83">
        <f>HYPERLINK("https://klasma.github.io/Logging_0980/kartor/A 40678-2018 karta.png", "A 40678-2018")</f>
        <v/>
      </c>
      <c r="V83">
        <f>HYPERLINK("https://klasma.github.io/Logging_0980/klagomål/A 40678-2018 FSC-klagomål.docx", "A 40678-2018")</f>
        <v/>
      </c>
      <c r="W83">
        <f>HYPERLINK("https://klasma.github.io/Logging_0980/klagomålsmail/A 40678-2018 FSC-klagomål mail.docx", "A 40678-2018")</f>
        <v/>
      </c>
      <c r="X83">
        <f>HYPERLINK("https://klasma.github.io/Logging_0980/tillsyn/A 40678-2018 tillsynsbegäran.docx", "A 40678-2018")</f>
        <v/>
      </c>
      <c r="Y83">
        <f>HYPERLINK("https://klasma.github.io/Logging_0980/tillsynsmail/A 40678-2018 tillsynsbegäran mail.docx", "A 40678-2018")</f>
        <v/>
      </c>
    </row>
    <row r="84" ht="15" customHeight="1">
      <c r="A84" t="inlineStr">
        <is>
          <t>A 13891-2019</t>
        </is>
      </c>
      <c r="B84" s="1" t="n">
        <v>43531</v>
      </c>
      <c r="C84" s="1" t="n">
        <v>45213</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 artfynd.xlsx", "A 13891-2019")</f>
        <v/>
      </c>
      <c r="T84">
        <f>HYPERLINK("https://klasma.github.io/Logging_0980/kartor/A 13891-2019 karta.png", "A 13891-2019")</f>
        <v/>
      </c>
      <c r="V84">
        <f>HYPERLINK("https://klasma.github.io/Logging_0980/klagomål/A 13891-2019 FSC-klagomål.docx", "A 13891-2019")</f>
        <v/>
      </c>
      <c r="W84">
        <f>HYPERLINK("https://klasma.github.io/Logging_0980/klagomålsmail/A 13891-2019 FSC-klagomål mail.docx", "A 13891-2019")</f>
        <v/>
      </c>
      <c r="X84">
        <f>HYPERLINK("https://klasma.github.io/Logging_0980/tillsyn/A 13891-2019 tillsynsbegäran.docx", "A 13891-2019")</f>
        <v/>
      </c>
      <c r="Y84">
        <f>HYPERLINK("https://klasma.github.io/Logging_0980/tillsynsmail/A 13891-2019 tillsynsbegäran mail.docx", "A 13891-2019")</f>
        <v/>
      </c>
    </row>
    <row r="85" ht="15" customHeight="1">
      <c r="A85" t="inlineStr">
        <is>
          <t>A 32966-2019</t>
        </is>
      </c>
      <c r="B85" s="1" t="n">
        <v>43648</v>
      </c>
      <c r="C85" s="1" t="n">
        <v>45213</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 artfynd.xlsx", "A 32966-2019")</f>
        <v/>
      </c>
      <c r="T85">
        <f>HYPERLINK("https://klasma.github.io/Logging_0980/kartor/A 32966-2019 karta.png", "A 32966-2019")</f>
        <v/>
      </c>
      <c r="V85">
        <f>HYPERLINK("https://klasma.github.io/Logging_0980/klagomål/A 32966-2019 FSC-klagomål.docx", "A 32966-2019")</f>
        <v/>
      </c>
      <c r="W85">
        <f>HYPERLINK("https://klasma.github.io/Logging_0980/klagomålsmail/A 32966-2019 FSC-klagomål mail.docx", "A 32966-2019")</f>
        <v/>
      </c>
      <c r="X85">
        <f>HYPERLINK("https://klasma.github.io/Logging_0980/tillsyn/A 32966-2019 tillsynsbegäran.docx", "A 32966-2019")</f>
        <v/>
      </c>
      <c r="Y85">
        <f>HYPERLINK("https://klasma.github.io/Logging_0980/tillsynsmail/A 32966-2019 tillsynsbegäran mail.docx", "A 32966-2019")</f>
        <v/>
      </c>
    </row>
    <row r="86" ht="15" customHeight="1">
      <c r="A86" t="inlineStr">
        <is>
          <t>A 32969-2019</t>
        </is>
      </c>
      <c r="B86" s="1" t="n">
        <v>43648</v>
      </c>
      <c r="C86" s="1" t="n">
        <v>45213</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 artfynd.xlsx", "A 32969-2019")</f>
        <v/>
      </c>
      <c r="T86">
        <f>HYPERLINK("https://klasma.github.io/Logging_0980/kartor/A 32969-2019 karta.png", "A 32969-2019")</f>
        <v/>
      </c>
      <c r="V86">
        <f>HYPERLINK("https://klasma.github.io/Logging_0980/klagomål/A 32969-2019 FSC-klagomål.docx", "A 32969-2019")</f>
        <v/>
      </c>
      <c r="W86">
        <f>HYPERLINK("https://klasma.github.io/Logging_0980/klagomålsmail/A 32969-2019 FSC-klagomål mail.docx", "A 32969-2019")</f>
        <v/>
      </c>
      <c r="X86">
        <f>HYPERLINK("https://klasma.github.io/Logging_0980/tillsyn/A 32969-2019 tillsynsbegäran.docx", "A 32969-2019")</f>
        <v/>
      </c>
      <c r="Y86">
        <f>HYPERLINK("https://klasma.github.io/Logging_0980/tillsynsmail/A 32969-2019 tillsynsbegäran mail.docx", "A 32969-2019")</f>
        <v/>
      </c>
    </row>
    <row r="87" ht="15" customHeight="1">
      <c r="A87" t="inlineStr">
        <is>
          <t>A 43304-2019</t>
        </is>
      </c>
      <c r="B87" s="1" t="n">
        <v>43706</v>
      </c>
      <c r="C87" s="1" t="n">
        <v>45213</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 artfynd.xlsx", "A 43304-2019")</f>
        <v/>
      </c>
      <c r="T87">
        <f>HYPERLINK("https://klasma.github.io/Logging_0980/kartor/A 43304-2019 karta.png", "A 43304-2019")</f>
        <v/>
      </c>
      <c r="V87">
        <f>HYPERLINK("https://klasma.github.io/Logging_0980/klagomål/A 43304-2019 FSC-klagomål.docx", "A 43304-2019")</f>
        <v/>
      </c>
      <c r="W87">
        <f>HYPERLINK("https://klasma.github.io/Logging_0980/klagomålsmail/A 43304-2019 FSC-klagomål mail.docx", "A 43304-2019")</f>
        <v/>
      </c>
      <c r="X87">
        <f>HYPERLINK("https://klasma.github.io/Logging_0980/tillsyn/A 43304-2019 tillsynsbegäran.docx", "A 43304-2019")</f>
        <v/>
      </c>
      <c r="Y87">
        <f>HYPERLINK("https://klasma.github.io/Logging_0980/tillsynsmail/A 43304-2019 tillsynsbegäran mail.docx", "A 43304-2019")</f>
        <v/>
      </c>
    </row>
    <row r="88" ht="15" customHeight="1">
      <c r="A88" t="inlineStr">
        <is>
          <t>A 4812-2020</t>
        </is>
      </c>
      <c r="B88" s="1" t="n">
        <v>43852</v>
      </c>
      <c r="C88" s="1" t="n">
        <v>45213</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 artfynd.xlsx", "A 4812-2020")</f>
        <v/>
      </c>
      <c r="T88">
        <f>HYPERLINK("https://klasma.github.io/Logging_0980/kartor/A 4812-2020 karta.png", "A 4812-2020")</f>
        <v/>
      </c>
      <c r="V88">
        <f>HYPERLINK("https://klasma.github.io/Logging_0980/klagomål/A 4812-2020 FSC-klagomål.docx", "A 4812-2020")</f>
        <v/>
      </c>
      <c r="W88">
        <f>HYPERLINK("https://klasma.github.io/Logging_0980/klagomålsmail/A 4812-2020 FSC-klagomål mail.docx", "A 4812-2020")</f>
        <v/>
      </c>
      <c r="X88">
        <f>HYPERLINK("https://klasma.github.io/Logging_0980/tillsyn/A 4812-2020 tillsynsbegäran.docx", "A 4812-2020")</f>
        <v/>
      </c>
      <c r="Y88">
        <f>HYPERLINK("https://klasma.github.io/Logging_0980/tillsynsmail/A 4812-2020 tillsynsbegäran mail.docx", "A 4812-2020")</f>
        <v/>
      </c>
    </row>
    <row r="89" ht="15" customHeight="1">
      <c r="A89" t="inlineStr">
        <is>
          <t>A 13990-2020</t>
        </is>
      </c>
      <c r="B89" s="1" t="n">
        <v>43906</v>
      </c>
      <c r="C89" s="1" t="n">
        <v>45213</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 artfynd.xlsx", "A 13990-2020")</f>
        <v/>
      </c>
      <c r="T89">
        <f>HYPERLINK("https://klasma.github.io/Logging_0980/kartor/A 13990-2020 karta.png", "A 13990-2020")</f>
        <v/>
      </c>
      <c r="V89">
        <f>HYPERLINK("https://klasma.github.io/Logging_0980/klagomål/A 13990-2020 FSC-klagomål.docx", "A 13990-2020")</f>
        <v/>
      </c>
      <c r="W89">
        <f>HYPERLINK("https://klasma.github.io/Logging_0980/klagomålsmail/A 13990-2020 FSC-klagomål mail.docx", "A 13990-2020")</f>
        <v/>
      </c>
      <c r="X89">
        <f>HYPERLINK("https://klasma.github.io/Logging_0980/tillsyn/A 13990-2020 tillsynsbegäran.docx", "A 13990-2020")</f>
        <v/>
      </c>
      <c r="Y89">
        <f>HYPERLINK("https://klasma.github.io/Logging_0980/tillsynsmail/A 13990-2020 tillsynsbegäran mail.docx", "A 13990-2020")</f>
        <v/>
      </c>
    </row>
    <row r="90" ht="15" customHeight="1">
      <c r="A90" t="inlineStr">
        <is>
          <t>A 40879-2020</t>
        </is>
      </c>
      <c r="B90" s="1" t="n">
        <v>44070</v>
      </c>
      <c r="C90" s="1" t="n">
        <v>45213</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 artfynd.xlsx", "A 40879-2020")</f>
        <v/>
      </c>
      <c r="T90">
        <f>HYPERLINK("https://klasma.github.io/Logging_0980/kartor/A 40879-2020 karta.png", "A 40879-2020")</f>
        <v/>
      </c>
      <c r="V90">
        <f>HYPERLINK("https://klasma.github.io/Logging_0980/klagomål/A 40879-2020 FSC-klagomål.docx", "A 40879-2020")</f>
        <v/>
      </c>
      <c r="W90">
        <f>HYPERLINK("https://klasma.github.io/Logging_0980/klagomålsmail/A 40879-2020 FSC-klagomål mail.docx", "A 40879-2020")</f>
        <v/>
      </c>
      <c r="X90">
        <f>HYPERLINK("https://klasma.github.io/Logging_0980/tillsyn/A 40879-2020 tillsynsbegäran.docx", "A 40879-2020")</f>
        <v/>
      </c>
      <c r="Y90">
        <f>HYPERLINK("https://klasma.github.io/Logging_0980/tillsynsmail/A 40879-2020 tillsynsbegäran mail.docx", "A 40879-2020")</f>
        <v/>
      </c>
    </row>
    <row r="91" ht="15" customHeight="1">
      <c r="A91" t="inlineStr">
        <is>
          <t>A 43321-2020</t>
        </is>
      </c>
      <c r="B91" s="1" t="n">
        <v>44081</v>
      </c>
      <c r="C91" s="1" t="n">
        <v>45213</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 artfynd.xlsx", "A 43321-2020")</f>
        <v/>
      </c>
      <c r="T91">
        <f>HYPERLINK("https://klasma.github.io/Logging_0980/kartor/A 43321-2020 karta.png", "A 43321-2020")</f>
        <v/>
      </c>
      <c r="V91">
        <f>HYPERLINK("https://klasma.github.io/Logging_0980/klagomål/A 43321-2020 FSC-klagomål.docx", "A 43321-2020")</f>
        <v/>
      </c>
      <c r="W91">
        <f>HYPERLINK("https://klasma.github.io/Logging_0980/klagomålsmail/A 43321-2020 FSC-klagomål mail.docx", "A 43321-2020")</f>
        <v/>
      </c>
      <c r="X91">
        <f>HYPERLINK("https://klasma.github.io/Logging_0980/tillsyn/A 43321-2020 tillsynsbegäran.docx", "A 43321-2020")</f>
        <v/>
      </c>
      <c r="Y91">
        <f>HYPERLINK("https://klasma.github.io/Logging_0980/tillsynsmail/A 43321-2020 tillsynsbegäran mail.docx", "A 43321-2020")</f>
        <v/>
      </c>
    </row>
    <row r="92" ht="15" customHeight="1">
      <c r="A92" t="inlineStr">
        <is>
          <t>A 58701-2020</t>
        </is>
      </c>
      <c r="B92" s="1" t="n">
        <v>44146</v>
      </c>
      <c r="C92" s="1" t="n">
        <v>45213</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 artfynd.xlsx", "A 58701-2020")</f>
        <v/>
      </c>
      <c r="T92">
        <f>HYPERLINK("https://klasma.github.io/Logging_0980/kartor/A 58701-2020 karta.png", "A 58701-2020")</f>
        <v/>
      </c>
      <c r="V92">
        <f>HYPERLINK("https://klasma.github.io/Logging_0980/klagomål/A 58701-2020 FSC-klagomål.docx", "A 58701-2020")</f>
        <v/>
      </c>
      <c r="W92">
        <f>HYPERLINK("https://klasma.github.io/Logging_0980/klagomålsmail/A 58701-2020 FSC-klagomål mail.docx", "A 58701-2020")</f>
        <v/>
      </c>
      <c r="X92">
        <f>HYPERLINK("https://klasma.github.io/Logging_0980/tillsyn/A 58701-2020 tillsynsbegäran.docx", "A 58701-2020")</f>
        <v/>
      </c>
      <c r="Y92">
        <f>HYPERLINK("https://klasma.github.io/Logging_0980/tillsynsmail/A 58701-2020 tillsynsbegäran mail.docx", "A 58701-2020")</f>
        <v/>
      </c>
    </row>
    <row r="93" ht="15" customHeight="1">
      <c r="A93" t="inlineStr">
        <is>
          <t>A 64263-2020</t>
        </is>
      </c>
      <c r="B93" s="1" t="n">
        <v>44168</v>
      </c>
      <c r="C93" s="1" t="n">
        <v>45213</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 artfynd.xlsx", "A 64263-2020")</f>
        <v/>
      </c>
      <c r="T93">
        <f>HYPERLINK("https://klasma.github.io/Logging_0980/kartor/A 64263-2020 karta.png", "A 64263-2020")</f>
        <v/>
      </c>
      <c r="V93">
        <f>HYPERLINK("https://klasma.github.io/Logging_0980/klagomål/A 64263-2020 FSC-klagomål.docx", "A 64263-2020")</f>
        <v/>
      </c>
      <c r="W93">
        <f>HYPERLINK("https://klasma.github.io/Logging_0980/klagomålsmail/A 64263-2020 FSC-klagomål mail.docx", "A 64263-2020")</f>
        <v/>
      </c>
      <c r="X93">
        <f>HYPERLINK("https://klasma.github.io/Logging_0980/tillsyn/A 64263-2020 tillsynsbegäran.docx", "A 64263-2020")</f>
        <v/>
      </c>
      <c r="Y93">
        <f>HYPERLINK("https://klasma.github.io/Logging_0980/tillsynsmail/A 64263-2020 tillsynsbegäran mail.docx", "A 64263-2020")</f>
        <v/>
      </c>
    </row>
    <row r="94" ht="15" customHeight="1">
      <c r="A94" t="inlineStr">
        <is>
          <t>A 9930-2021</t>
        </is>
      </c>
      <c r="B94" s="1" t="n">
        <v>44252</v>
      </c>
      <c r="C94" s="1" t="n">
        <v>45213</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 artfynd.xlsx", "A 9930-2021")</f>
        <v/>
      </c>
      <c r="T94">
        <f>HYPERLINK("https://klasma.github.io/Logging_0980/kartor/A 9930-2021 karta.png", "A 9930-2021")</f>
        <v/>
      </c>
      <c r="V94">
        <f>HYPERLINK("https://klasma.github.io/Logging_0980/klagomål/A 9930-2021 FSC-klagomål.docx", "A 9930-2021")</f>
        <v/>
      </c>
      <c r="W94">
        <f>HYPERLINK("https://klasma.github.io/Logging_0980/klagomålsmail/A 9930-2021 FSC-klagomål mail.docx", "A 9930-2021")</f>
        <v/>
      </c>
      <c r="X94">
        <f>HYPERLINK("https://klasma.github.io/Logging_0980/tillsyn/A 9930-2021 tillsynsbegäran.docx", "A 9930-2021")</f>
        <v/>
      </c>
      <c r="Y94">
        <f>HYPERLINK("https://klasma.github.io/Logging_0980/tillsynsmail/A 9930-2021 tillsynsbegäran mail.docx", "A 9930-2021")</f>
        <v/>
      </c>
    </row>
    <row r="95" ht="15" customHeight="1">
      <c r="A95" t="inlineStr">
        <is>
          <t>A 16429-2021</t>
        </is>
      </c>
      <c r="B95" s="1" t="n">
        <v>44293</v>
      </c>
      <c r="C95" s="1" t="n">
        <v>45213</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 artfynd.xlsx", "A 16429-2021")</f>
        <v/>
      </c>
      <c r="T95">
        <f>HYPERLINK("https://klasma.github.io/Logging_0980/kartor/A 16429-2021 karta.png", "A 16429-2021")</f>
        <v/>
      </c>
      <c r="V95">
        <f>HYPERLINK("https://klasma.github.io/Logging_0980/klagomål/A 16429-2021 FSC-klagomål.docx", "A 16429-2021")</f>
        <v/>
      </c>
      <c r="W95">
        <f>HYPERLINK("https://klasma.github.io/Logging_0980/klagomålsmail/A 16429-2021 FSC-klagomål mail.docx", "A 16429-2021")</f>
        <v/>
      </c>
      <c r="X95">
        <f>HYPERLINK("https://klasma.github.io/Logging_0980/tillsyn/A 16429-2021 tillsynsbegäran.docx", "A 16429-2021")</f>
        <v/>
      </c>
      <c r="Y95">
        <f>HYPERLINK("https://klasma.github.io/Logging_0980/tillsynsmail/A 16429-2021 tillsynsbegäran mail.docx", "A 16429-2021")</f>
        <v/>
      </c>
    </row>
    <row r="96" ht="15" customHeight="1">
      <c r="A96" t="inlineStr">
        <is>
          <t>A 29870-2021</t>
        </is>
      </c>
      <c r="B96" s="1" t="n">
        <v>44362</v>
      </c>
      <c r="C96" s="1" t="n">
        <v>45213</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 artfynd.xlsx", "A 29870-2021")</f>
        <v/>
      </c>
      <c r="T96">
        <f>HYPERLINK("https://klasma.github.io/Logging_0980/kartor/A 29870-2021 karta.png", "A 29870-2021")</f>
        <v/>
      </c>
      <c r="V96">
        <f>HYPERLINK("https://klasma.github.io/Logging_0980/klagomål/A 29870-2021 FSC-klagomål.docx", "A 29870-2021")</f>
        <v/>
      </c>
      <c r="W96">
        <f>HYPERLINK("https://klasma.github.io/Logging_0980/klagomålsmail/A 29870-2021 FSC-klagomål mail.docx", "A 29870-2021")</f>
        <v/>
      </c>
      <c r="X96">
        <f>HYPERLINK("https://klasma.github.io/Logging_0980/tillsyn/A 29870-2021 tillsynsbegäran.docx", "A 29870-2021")</f>
        <v/>
      </c>
      <c r="Y96">
        <f>HYPERLINK("https://klasma.github.io/Logging_0980/tillsynsmail/A 29870-2021 tillsynsbegäran mail.docx", "A 29870-2021")</f>
        <v/>
      </c>
    </row>
    <row r="97" ht="15" customHeight="1">
      <c r="A97" t="inlineStr">
        <is>
          <t>A 60665-2021</t>
        </is>
      </c>
      <c r="B97" s="1" t="n">
        <v>44496</v>
      </c>
      <c r="C97" s="1" t="n">
        <v>45213</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 artfynd.xlsx", "A 60665-2021")</f>
        <v/>
      </c>
      <c r="T97">
        <f>HYPERLINK("https://klasma.github.io/Logging_0980/kartor/A 60665-2021 karta.png", "A 60665-2021")</f>
        <v/>
      </c>
      <c r="V97">
        <f>HYPERLINK("https://klasma.github.io/Logging_0980/klagomål/A 60665-2021 FSC-klagomål.docx", "A 60665-2021")</f>
        <v/>
      </c>
      <c r="W97">
        <f>HYPERLINK("https://klasma.github.io/Logging_0980/klagomålsmail/A 60665-2021 FSC-klagomål mail.docx", "A 60665-2021")</f>
        <v/>
      </c>
      <c r="X97">
        <f>HYPERLINK("https://klasma.github.io/Logging_0980/tillsyn/A 60665-2021 tillsynsbegäran.docx", "A 60665-2021")</f>
        <v/>
      </c>
      <c r="Y97">
        <f>HYPERLINK("https://klasma.github.io/Logging_0980/tillsynsmail/A 60665-2021 tillsynsbegäran mail.docx", "A 60665-2021")</f>
        <v/>
      </c>
    </row>
    <row r="98" ht="15" customHeight="1">
      <c r="A98" t="inlineStr">
        <is>
          <t>A 73144-2021</t>
        </is>
      </c>
      <c r="B98" s="1" t="n">
        <v>44550</v>
      </c>
      <c r="C98" s="1" t="n">
        <v>45213</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 artfynd.xlsx", "A 73144-2021")</f>
        <v/>
      </c>
      <c r="T98">
        <f>HYPERLINK("https://klasma.github.io/Logging_0980/kartor/A 73144-2021 karta.png", "A 73144-2021")</f>
        <v/>
      </c>
      <c r="V98">
        <f>HYPERLINK("https://klasma.github.io/Logging_0980/klagomål/A 73144-2021 FSC-klagomål.docx", "A 73144-2021")</f>
        <v/>
      </c>
      <c r="W98">
        <f>HYPERLINK("https://klasma.github.io/Logging_0980/klagomålsmail/A 73144-2021 FSC-klagomål mail.docx", "A 73144-2021")</f>
        <v/>
      </c>
      <c r="X98">
        <f>HYPERLINK("https://klasma.github.io/Logging_0980/tillsyn/A 73144-2021 tillsynsbegäran.docx", "A 73144-2021")</f>
        <v/>
      </c>
      <c r="Y98">
        <f>HYPERLINK("https://klasma.github.io/Logging_0980/tillsynsmail/A 73144-2021 tillsynsbegäran mail.docx", "A 73144-2021")</f>
        <v/>
      </c>
    </row>
    <row r="99" ht="15" customHeight="1">
      <c r="A99" t="inlineStr">
        <is>
          <t>A 7070-2022</t>
        </is>
      </c>
      <c r="B99" s="1" t="n">
        <v>44603</v>
      </c>
      <c r="C99" s="1" t="n">
        <v>45213</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 artfynd.xlsx", "A 7070-2022")</f>
        <v/>
      </c>
      <c r="T99">
        <f>HYPERLINK("https://klasma.github.io/Logging_0980/kartor/A 7070-2022 karta.png", "A 7070-2022")</f>
        <v/>
      </c>
      <c r="V99">
        <f>HYPERLINK("https://klasma.github.io/Logging_0980/klagomål/A 7070-2022 FSC-klagomål.docx", "A 7070-2022")</f>
        <v/>
      </c>
      <c r="W99">
        <f>HYPERLINK("https://klasma.github.io/Logging_0980/klagomålsmail/A 7070-2022 FSC-klagomål mail.docx", "A 7070-2022")</f>
        <v/>
      </c>
      <c r="X99">
        <f>HYPERLINK("https://klasma.github.io/Logging_0980/tillsyn/A 7070-2022 tillsynsbegäran.docx", "A 7070-2022")</f>
        <v/>
      </c>
      <c r="Y99">
        <f>HYPERLINK("https://klasma.github.io/Logging_0980/tillsynsmail/A 7070-2022 tillsynsbegäran mail.docx", "A 7070-2022")</f>
        <v/>
      </c>
    </row>
    <row r="100" ht="15" customHeight="1">
      <c r="A100" t="inlineStr">
        <is>
          <t>A 19175-2022</t>
        </is>
      </c>
      <c r="B100" s="1" t="n">
        <v>44691</v>
      </c>
      <c r="C100" s="1" t="n">
        <v>45213</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 artfynd.xlsx", "A 19175-2022")</f>
        <v/>
      </c>
      <c r="T100">
        <f>HYPERLINK("https://klasma.github.io/Logging_0980/kartor/A 19175-2022 karta.png", "A 19175-2022")</f>
        <v/>
      </c>
      <c r="V100">
        <f>HYPERLINK("https://klasma.github.io/Logging_0980/klagomål/A 19175-2022 FSC-klagomål.docx", "A 19175-2022")</f>
        <v/>
      </c>
      <c r="W100">
        <f>HYPERLINK("https://klasma.github.io/Logging_0980/klagomålsmail/A 19175-2022 FSC-klagomål mail.docx", "A 19175-2022")</f>
        <v/>
      </c>
      <c r="X100">
        <f>HYPERLINK("https://klasma.github.io/Logging_0980/tillsyn/A 19175-2022 tillsynsbegäran.docx", "A 19175-2022")</f>
        <v/>
      </c>
      <c r="Y100">
        <f>HYPERLINK("https://klasma.github.io/Logging_0980/tillsynsmail/A 19175-2022 tillsynsbegäran mail.docx", "A 19175-2022")</f>
        <v/>
      </c>
    </row>
    <row r="101" ht="15" customHeight="1">
      <c r="A101" t="inlineStr">
        <is>
          <t>A 20218-2022</t>
        </is>
      </c>
      <c r="B101" s="1" t="n">
        <v>44698</v>
      </c>
      <c r="C101" s="1" t="n">
        <v>45213</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 artfynd.xlsx", "A 20218-2022")</f>
        <v/>
      </c>
      <c r="T101">
        <f>HYPERLINK("https://klasma.github.io/Logging_0980/kartor/A 20218-2022 karta.png", "A 20218-2022")</f>
        <v/>
      </c>
      <c r="V101">
        <f>HYPERLINK("https://klasma.github.io/Logging_0980/klagomål/A 20218-2022 FSC-klagomål.docx", "A 20218-2022")</f>
        <v/>
      </c>
      <c r="W101">
        <f>HYPERLINK("https://klasma.github.io/Logging_0980/klagomålsmail/A 20218-2022 FSC-klagomål mail.docx", "A 20218-2022")</f>
        <v/>
      </c>
      <c r="X101">
        <f>HYPERLINK("https://klasma.github.io/Logging_0980/tillsyn/A 20218-2022 tillsynsbegäran.docx", "A 20218-2022")</f>
        <v/>
      </c>
      <c r="Y101">
        <f>HYPERLINK("https://klasma.github.io/Logging_0980/tillsynsmail/A 20218-2022 tillsynsbegäran mail.docx", "A 20218-2022")</f>
        <v/>
      </c>
    </row>
    <row r="102" ht="15" customHeight="1">
      <c r="A102" t="inlineStr">
        <is>
          <t>A 44944-2022</t>
        </is>
      </c>
      <c r="B102" s="1" t="n">
        <v>44841</v>
      </c>
      <c r="C102" s="1" t="n">
        <v>45213</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 artfynd.xlsx", "A 44944-2022")</f>
        <v/>
      </c>
      <c r="T102">
        <f>HYPERLINK("https://klasma.github.io/Logging_0980/kartor/A 44944-2022 karta.png", "A 44944-2022")</f>
        <v/>
      </c>
      <c r="V102">
        <f>HYPERLINK("https://klasma.github.io/Logging_0980/klagomål/A 44944-2022 FSC-klagomål.docx", "A 44944-2022")</f>
        <v/>
      </c>
      <c r="W102">
        <f>HYPERLINK("https://klasma.github.io/Logging_0980/klagomålsmail/A 44944-2022 FSC-klagomål mail.docx", "A 44944-2022")</f>
        <v/>
      </c>
      <c r="X102">
        <f>HYPERLINK("https://klasma.github.io/Logging_0980/tillsyn/A 44944-2022 tillsynsbegäran.docx", "A 44944-2022")</f>
        <v/>
      </c>
      <c r="Y102">
        <f>HYPERLINK("https://klasma.github.io/Logging_0980/tillsynsmail/A 44944-2022 tillsynsbegäran mail.docx", "A 44944-2022")</f>
        <v/>
      </c>
    </row>
    <row r="103" ht="15" customHeight="1">
      <c r="A103" t="inlineStr">
        <is>
          <t>A 48126-2022</t>
        </is>
      </c>
      <c r="B103" s="1" t="n">
        <v>44857</v>
      </c>
      <c r="C103" s="1" t="n">
        <v>45213</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row>
    <row r="104" ht="15" customHeight="1">
      <c r="A104" t="inlineStr">
        <is>
          <t>A 3779-2023</t>
        </is>
      </c>
      <c r="B104" s="1" t="n">
        <v>44951</v>
      </c>
      <c r="C104" s="1" t="n">
        <v>45213</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 artfynd.xlsx", "A 3779-2023")</f>
        <v/>
      </c>
      <c r="T104">
        <f>HYPERLINK("https://klasma.github.io/Logging_0980/kartor/A 3779-2023 karta.png", "A 3779-2023")</f>
        <v/>
      </c>
      <c r="V104">
        <f>HYPERLINK("https://klasma.github.io/Logging_0980/klagomål/A 3779-2023 FSC-klagomål.docx", "A 3779-2023")</f>
        <v/>
      </c>
      <c r="W104">
        <f>HYPERLINK("https://klasma.github.io/Logging_0980/klagomålsmail/A 3779-2023 FSC-klagomål mail.docx", "A 3779-2023")</f>
        <v/>
      </c>
      <c r="X104">
        <f>HYPERLINK("https://klasma.github.io/Logging_0980/tillsyn/A 3779-2023 tillsynsbegäran.docx", "A 3779-2023")</f>
        <v/>
      </c>
      <c r="Y104">
        <f>HYPERLINK("https://klasma.github.io/Logging_0980/tillsynsmail/A 3779-2023 tillsynsbegäran mail.docx", "A 3779-2023")</f>
        <v/>
      </c>
    </row>
    <row r="105" ht="15" customHeight="1">
      <c r="A105" t="inlineStr">
        <is>
          <t>A 35028-2023</t>
        </is>
      </c>
      <c r="B105" s="1" t="n">
        <v>45145</v>
      </c>
      <c r="C105" s="1" t="n">
        <v>45213</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 artfynd.xlsx", "A 35028-2023")</f>
        <v/>
      </c>
      <c r="T105">
        <f>HYPERLINK("https://klasma.github.io/Logging_0980/kartor/A 35028-2023 karta.png", "A 35028-2023")</f>
        <v/>
      </c>
      <c r="V105">
        <f>HYPERLINK("https://klasma.github.io/Logging_0980/klagomål/A 35028-2023 FSC-klagomål.docx", "A 35028-2023")</f>
        <v/>
      </c>
      <c r="W105">
        <f>HYPERLINK("https://klasma.github.io/Logging_0980/klagomålsmail/A 35028-2023 FSC-klagomål mail.docx", "A 35028-2023")</f>
        <v/>
      </c>
      <c r="X105">
        <f>HYPERLINK("https://klasma.github.io/Logging_0980/tillsyn/A 35028-2023 tillsynsbegäran.docx", "A 35028-2023")</f>
        <v/>
      </c>
      <c r="Y105">
        <f>HYPERLINK("https://klasma.github.io/Logging_0980/tillsynsmail/A 35028-2023 tillsynsbegäran mail.docx", "A 35028-2023")</f>
        <v/>
      </c>
    </row>
    <row r="106" ht="15" customHeight="1">
      <c r="A106" t="inlineStr">
        <is>
          <t>A 35029-2023</t>
        </is>
      </c>
      <c r="B106" s="1" t="n">
        <v>45145</v>
      </c>
      <c r="C106" s="1" t="n">
        <v>45213</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 artfynd.xlsx", "A 35029-2023")</f>
        <v/>
      </c>
      <c r="T106">
        <f>HYPERLINK("https://klasma.github.io/Logging_0980/kartor/A 35029-2023 karta.png", "A 35029-2023")</f>
        <v/>
      </c>
      <c r="V106">
        <f>HYPERLINK("https://klasma.github.io/Logging_0980/klagomål/A 35029-2023 FSC-klagomål.docx", "A 35029-2023")</f>
        <v/>
      </c>
      <c r="W106">
        <f>HYPERLINK("https://klasma.github.io/Logging_0980/klagomålsmail/A 35029-2023 FSC-klagomål mail.docx", "A 35029-2023")</f>
        <v/>
      </c>
      <c r="X106">
        <f>HYPERLINK("https://klasma.github.io/Logging_0980/tillsyn/A 35029-2023 tillsynsbegäran.docx", "A 35029-2023")</f>
        <v/>
      </c>
      <c r="Y106">
        <f>HYPERLINK("https://klasma.github.io/Logging_0980/tillsynsmail/A 35029-2023 tillsynsbegäran mail.docx", "A 35029-2023")</f>
        <v/>
      </c>
    </row>
    <row r="107" ht="15" customHeight="1">
      <c r="A107" t="inlineStr">
        <is>
          <t>A 39376-2023</t>
        </is>
      </c>
      <c r="B107" s="1" t="n">
        <v>45166</v>
      </c>
      <c r="C107" s="1" t="n">
        <v>45213</v>
      </c>
      <c r="D107" t="inlineStr">
        <is>
          <t>GOTLANDS LÄN</t>
        </is>
      </c>
      <c r="E107" t="inlineStr">
        <is>
          <t>GOTLAND</t>
        </is>
      </c>
      <c r="G107" t="n">
        <v>9.199999999999999</v>
      </c>
      <c r="H107" t="n">
        <v>0</v>
      </c>
      <c r="I107" t="n">
        <v>0</v>
      </c>
      <c r="J107" t="n">
        <v>2</v>
      </c>
      <c r="K107" t="n">
        <v>0</v>
      </c>
      <c r="L107" t="n">
        <v>0</v>
      </c>
      <c r="M107" t="n">
        <v>0</v>
      </c>
      <c r="N107" t="n">
        <v>0</v>
      </c>
      <c r="O107" t="n">
        <v>2</v>
      </c>
      <c r="P107" t="n">
        <v>0</v>
      </c>
      <c r="Q107" t="n">
        <v>2</v>
      </c>
      <c r="R107" s="2" t="inlineStr">
        <is>
          <t>Flattoppad klubbsvamp
Äggspindling</t>
        </is>
      </c>
      <c r="S107">
        <f>HYPERLINK("https://klasma.github.io/Logging_0980/artfynd/A 39376-2023 artfynd.xlsx", "A 39376-2023")</f>
        <v/>
      </c>
      <c r="T107">
        <f>HYPERLINK("https://klasma.github.io/Logging_0980/kartor/A 39376-2023 karta.png", "A 39376-2023")</f>
        <v/>
      </c>
      <c r="V107">
        <f>HYPERLINK("https://klasma.github.io/Logging_0980/klagomål/A 39376-2023 FSC-klagomål.docx", "A 39376-2023")</f>
        <v/>
      </c>
      <c r="W107">
        <f>HYPERLINK("https://klasma.github.io/Logging_0980/klagomålsmail/A 39376-2023 FSC-klagomål mail.docx", "A 39376-2023")</f>
        <v/>
      </c>
      <c r="X107">
        <f>HYPERLINK("https://klasma.github.io/Logging_0980/tillsyn/A 39376-2023 tillsynsbegäran.docx", "A 39376-2023")</f>
        <v/>
      </c>
      <c r="Y107">
        <f>HYPERLINK("https://klasma.github.io/Logging_0980/tillsynsmail/A 39376-2023 tillsynsbegäran mail.docx", "A 39376-2023")</f>
        <v/>
      </c>
    </row>
    <row r="108" ht="15" customHeight="1">
      <c r="A108" t="inlineStr">
        <is>
          <t>A 41816-2018</t>
        </is>
      </c>
      <c r="B108" s="1" t="n">
        <v>43350</v>
      </c>
      <c r="C108" s="1" t="n">
        <v>45213</v>
      </c>
      <c r="D108" t="inlineStr">
        <is>
          <t>GOTLANDS LÄN</t>
        </is>
      </c>
      <c r="E108" t="inlineStr">
        <is>
          <t>GOTLAND</t>
        </is>
      </c>
      <c r="F108" t="inlineStr">
        <is>
          <t>Kyrkan</t>
        </is>
      </c>
      <c r="G108" t="n">
        <v>13.5</v>
      </c>
      <c r="H108" t="n">
        <v>1</v>
      </c>
      <c r="I108" t="n">
        <v>0</v>
      </c>
      <c r="J108" t="n">
        <v>1</v>
      </c>
      <c r="K108" t="n">
        <v>0</v>
      </c>
      <c r="L108" t="n">
        <v>0</v>
      </c>
      <c r="M108" t="n">
        <v>0</v>
      </c>
      <c r="N108" t="n">
        <v>0</v>
      </c>
      <c r="O108" t="n">
        <v>1</v>
      </c>
      <c r="P108" t="n">
        <v>0</v>
      </c>
      <c r="Q108" t="n">
        <v>1</v>
      </c>
      <c r="R108" s="2" t="inlineStr">
        <is>
          <t>Dårgräsfjäril</t>
        </is>
      </c>
      <c r="S108">
        <f>HYPERLINK("https://klasma.github.io/Logging_0980/artfynd/A 41816-2018 artfynd.xlsx", "A 41816-2018")</f>
        <v/>
      </c>
      <c r="T108">
        <f>HYPERLINK("https://klasma.github.io/Logging_0980/kartor/A 41816-2018 karta.png", "A 41816-2018")</f>
        <v/>
      </c>
      <c r="V108">
        <f>HYPERLINK("https://klasma.github.io/Logging_0980/klagomål/A 41816-2018 FSC-klagomål.docx", "A 41816-2018")</f>
        <v/>
      </c>
      <c r="W108">
        <f>HYPERLINK("https://klasma.github.io/Logging_0980/klagomålsmail/A 41816-2018 FSC-klagomål mail.docx", "A 41816-2018")</f>
        <v/>
      </c>
      <c r="X108">
        <f>HYPERLINK("https://klasma.github.io/Logging_0980/tillsyn/A 41816-2018 tillsynsbegäran.docx", "A 41816-2018")</f>
        <v/>
      </c>
      <c r="Y108">
        <f>HYPERLINK("https://klasma.github.io/Logging_0980/tillsynsmail/A 41816-2018 tillsynsbegäran mail.docx", "A 41816-2018")</f>
        <v/>
      </c>
    </row>
    <row r="109" ht="15" customHeight="1">
      <c r="A109" t="inlineStr">
        <is>
          <t>A 60102-2018</t>
        </is>
      </c>
      <c r="B109" s="1" t="n">
        <v>43412</v>
      </c>
      <c r="C109" s="1" t="n">
        <v>45213</v>
      </c>
      <c r="D109" t="inlineStr">
        <is>
          <t>GOTLANDS LÄN</t>
        </is>
      </c>
      <c r="E109" t="inlineStr">
        <is>
          <t>GOTLAND</t>
        </is>
      </c>
      <c r="G109" t="n">
        <v>5</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60102-2018 artfynd.xlsx", "A 60102-2018")</f>
        <v/>
      </c>
      <c r="T109">
        <f>HYPERLINK("https://klasma.github.io/Logging_0980/kartor/A 60102-2018 karta.png", "A 60102-2018")</f>
        <v/>
      </c>
      <c r="V109">
        <f>HYPERLINK("https://klasma.github.io/Logging_0980/klagomål/A 60102-2018 FSC-klagomål.docx", "A 60102-2018")</f>
        <v/>
      </c>
      <c r="W109">
        <f>HYPERLINK("https://klasma.github.io/Logging_0980/klagomålsmail/A 60102-2018 FSC-klagomål mail.docx", "A 60102-2018")</f>
        <v/>
      </c>
      <c r="X109">
        <f>HYPERLINK("https://klasma.github.io/Logging_0980/tillsyn/A 60102-2018 tillsynsbegäran.docx", "A 60102-2018")</f>
        <v/>
      </c>
      <c r="Y109">
        <f>HYPERLINK("https://klasma.github.io/Logging_0980/tillsynsmail/A 60102-2018 tillsynsbegäran mail.docx", "A 60102-2018")</f>
        <v/>
      </c>
    </row>
    <row r="110" ht="15" customHeight="1">
      <c r="A110" t="inlineStr">
        <is>
          <t>A 72440-2018</t>
        </is>
      </c>
      <c r="B110" s="1" t="n">
        <v>43461</v>
      </c>
      <c r="C110" s="1" t="n">
        <v>45213</v>
      </c>
      <c r="D110" t="inlineStr">
        <is>
          <t>GOTLANDS LÄN</t>
        </is>
      </c>
      <c r="E110" t="inlineStr">
        <is>
          <t>GOTLAND</t>
        </is>
      </c>
      <c r="F110" t="inlineStr">
        <is>
          <t>Kyrkan</t>
        </is>
      </c>
      <c r="G110" t="n">
        <v>6.7</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72440-2018 artfynd.xlsx", "A 72440-2018")</f>
        <v/>
      </c>
      <c r="T110">
        <f>HYPERLINK("https://klasma.github.io/Logging_0980/kartor/A 72440-2018 karta.png", "A 72440-2018")</f>
        <v/>
      </c>
      <c r="V110">
        <f>HYPERLINK("https://klasma.github.io/Logging_0980/klagomål/A 72440-2018 FSC-klagomål.docx", "A 72440-2018")</f>
        <v/>
      </c>
      <c r="W110">
        <f>HYPERLINK("https://klasma.github.io/Logging_0980/klagomålsmail/A 72440-2018 FSC-klagomål mail.docx", "A 72440-2018")</f>
        <v/>
      </c>
      <c r="X110">
        <f>HYPERLINK("https://klasma.github.io/Logging_0980/tillsyn/A 72440-2018 tillsynsbegäran.docx", "A 72440-2018")</f>
        <v/>
      </c>
      <c r="Y110">
        <f>HYPERLINK("https://klasma.github.io/Logging_0980/tillsynsmail/A 72440-2018 tillsynsbegäran mail.docx", "A 72440-2018")</f>
        <v/>
      </c>
    </row>
    <row r="111" ht="15" customHeight="1">
      <c r="A111" t="inlineStr">
        <is>
          <t>A 72562-2018</t>
        </is>
      </c>
      <c r="B111" s="1" t="n">
        <v>43462</v>
      </c>
      <c r="C111" s="1" t="n">
        <v>45213</v>
      </c>
      <c r="D111" t="inlineStr">
        <is>
          <t>GOTLANDS LÄN</t>
        </is>
      </c>
      <c r="E111" t="inlineStr">
        <is>
          <t>GOTLAND</t>
        </is>
      </c>
      <c r="F111" t="inlineStr">
        <is>
          <t>Kyrkan</t>
        </is>
      </c>
      <c r="G111" t="n">
        <v>3.9</v>
      </c>
      <c r="H111" t="n">
        <v>0</v>
      </c>
      <c r="I111" t="n">
        <v>1</v>
      </c>
      <c r="J111" t="n">
        <v>0</v>
      </c>
      <c r="K111" t="n">
        <v>0</v>
      </c>
      <c r="L111" t="n">
        <v>0</v>
      </c>
      <c r="M111" t="n">
        <v>0</v>
      </c>
      <c r="N111" t="n">
        <v>0</v>
      </c>
      <c r="O111" t="n">
        <v>0</v>
      </c>
      <c r="P111" t="n">
        <v>0</v>
      </c>
      <c r="Q111" t="n">
        <v>1</v>
      </c>
      <c r="R111" s="2" t="inlineStr">
        <is>
          <t>Strävlosta</t>
        </is>
      </c>
      <c r="S111">
        <f>HYPERLINK("https://klasma.github.io/Logging_0980/artfynd/A 72562-2018 artfynd.xlsx", "A 72562-2018")</f>
        <v/>
      </c>
      <c r="T111">
        <f>HYPERLINK("https://klasma.github.io/Logging_0980/kartor/A 72562-2018 karta.png", "A 72562-2018")</f>
        <v/>
      </c>
      <c r="V111">
        <f>HYPERLINK("https://klasma.github.io/Logging_0980/klagomål/A 72562-2018 FSC-klagomål.docx", "A 72562-2018")</f>
        <v/>
      </c>
      <c r="W111">
        <f>HYPERLINK("https://klasma.github.io/Logging_0980/klagomålsmail/A 72562-2018 FSC-klagomål mail.docx", "A 72562-2018")</f>
        <v/>
      </c>
      <c r="X111">
        <f>HYPERLINK("https://klasma.github.io/Logging_0980/tillsyn/A 72562-2018 tillsynsbegäran.docx", "A 72562-2018")</f>
        <v/>
      </c>
      <c r="Y111">
        <f>HYPERLINK("https://klasma.github.io/Logging_0980/tillsynsmail/A 72562-2018 tillsynsbegäran mail.docx", "A 72562-2018")</f>
        <v/>
      </c>
    </row>
    <row r="112" ht="15" customHeight="1">
      <c r="A112" t="inlineStr">
        <is>
          <t>A 4490-2019</t>
        </is>
      </c>
      <c r="B112" s="1" t="n">
        <v>43486</v>
      </c>
      <c r="C112" s="1" t="n">
        <v>45213</v>
      </c>
      <c r="D112" t="inlineStr">
        <is>
          <t>GOTLANDS LÄN</t>
        </is>
      </c>
      <c r="E112" t="inlineStr">
        <is>
          <t>GOTLAND</t>
        </is>
      </c>
      <c r="G112" t="n">
        <v>3.6</v>
      </c>
      <c r="H112" t="n">
        <v>1</v>
      </c>
      <c r="I112" t="n">
        <v>0</v>
      </c>
      <c r="J112" t="n">
        <v>0</v>
      </c>
      <c r="K112" t="n">
        <v>1</v>
      </c>
      <c r="L112" t="n">
        <v>0</v>
      </c>
      <c r="M112" t="n">
        <v>0</v>
      </c>
      <c r="N112" t="n">
        <v>0</v>
      </c>
      <c r="O112" t="n">
        <v>1</v>
      </c>
      <c r="P112" t="n">
        <v>1</v>
      </c>
      <c r="Q112" t="n">
        <v>1</v>
      </c>
      <c r="R112" s="2" t="inlineStr">
        <is>
          <t>Garderönn</t>
        </is>
      </c>
      <c r="S112">
        <f>HYPERLINK("https://klasma.github.io/Logging_0980/artfynd/A 4490-2019 artfynd.xlsx", "A 4490-2019")</f>
        <v/>
      </c>
      <c r="T112">
        <f>HYPERLINK("https://klasma.github.io/Logging_0980/kartor/A 4490-2019 karta.png", "A 4490-2019")</f>
        <v/>
      </c>
      <c r="V112">
        <f>HYPERLINK("https://klasma.github.io/Logging_0980/klagomål/A 4490-2019 FSC-klagomål.docx", "A 4490-2019")</f>
        <v/>
      </c>
      <c r="W112">
        <f>HYPERLINK("https://klasma.github.io/Logging_0980/klagomålsmail/A 4490-2019 FSC-klagomål mail.docx", "A 4490-2019")</f>
        <v/>
      </c>
      <c r="X112">
        <f>HYPERLINK("https://klasma.github.io/Logging_0980/tillsyn/A 4490-2019 tillsynsbegäran.docx", "A 4490-2019")</f>
        <v/>
      </c>
      <c r="Y112">
        <f>HYPERLINK("https://klasma.github.io/Logging_0980/tillsynsmail/A 4490-2019 tillsynsbegäran mail.docx", "A 4490-2019")</f>
        <v/>
      </c>
    </row>
    <row r="113" ht="15" customHeight="1">
      <c r="A113" t="inlineStr">
        <is>
          <t>A 5460-2019</t>
        </is>
      </c>
      <c r="B113" s="1" t="n">
        <v>43488</v>
      </c>
      <c r="C113" s="1" t="n">
        <v>45213</v>
      </c>
      <c r="D113" t="inlineStr">
        <is>
          <t>GOTLANDS LÄN</t>
        </is>
      </c>
      <c r="E113" t="inlineStr">
        <is>
          <t>GOTLAND</t>
        </is>
      </c>
      <c r="G113" t="n">
        <v>7.7</v>
      </c>
      <c r="H113" t="n">
        <v>0</v>
      </c>
      <c r="I113" t="n">
        <v>1</v>
      </c>
      <c r="J113" t="n">
        <v>0</v>
      </c>
      <c r="K113" t="n">
        <v>0</v>
      </c>
      <c r="L113" t="n">
        <v>0</v>
      </c>
      <c r="M113" t="n">
        <v>0</v>
      </c>
      <c r="N113" t="n">
        <v>0</v>
      </c>
      <c r="O113" t="n">
        <v>0</v>
      </c>
      <c r="P113" t="n">
        <v>0</v>
      </c>
      <c r="Q113" t="n">
        <v>1</v>
      </c>
      <c r="R113" s="2" t="inlineStr">
        <is>
          <t>Vågbandad barkbock</t>
        </is>
      </c>
      <c r="S113">
        <f>HYPERLINK("https://klasma.github.io/Logging_0980/artfynd/A 5460-2019 artfynd.xlsx", "A 5460-2019")</f>
        <v/>
      </c>
      <c r="T113">
        <f>HYPERLINK("https://klasma.github.io/Logging_0980/kartor/A 5460-2019 karta.png", "A 5460-2019")</f>
        <v/>
      </c>
      <c r="V113">
        <f>HYPERLINK("https://klasma.github.io/Logging_0980/klagomål/A 5460-2019 FSC-klagomål.docx", "A 5460-2019")</f>
        <v/>
      </c>
      <c r="W113">
        <f>HYPERLINK("https://klasma.github.io/Logging_0980/klagomålsmail/A 5460-2019 FSC-klagomål mail.docx", "A 5460-2019")</f>
        <v/>
      </c>
      <c r="X113">
        <f>HYPERLINK("https://klasma.github.io/Logging_0980/tillsyn/A 5460-2019 tillsynsbegäran.docx", "A 5460-2019")</f>
        <v/>
      </c>
      <c r="Y113">
        <f>HYPERLINK("https://klasma.github.io/Logging_0980/tillsynsmail/A 5460-2019 tillsynsbegäran mail.docx", "A 5460-2019")</f>
        <v/>
      </c>
    </row>
    <row r="114" ht="15" customHeight="1">
      <c r="A114" t="inlineStr">
        <is>
          <t>A 8589-2019</t>
        </is>
      </c>
      <c r="B114" s="1" t="n">
        <v>43502</v>
      </c>
      <c r="C114" s="1" t="n">
        <v>45213</v>
      </c>
      <c r="D114" t="inlineStr">
        <is>
          <t>GOTLANDS LÄN</t>
        </is>
      </c>
      <c r="E114" t="inlineStr">
        <is>
          <t>GOTLAND</t>
        </is>
      </c>
      <c r="G114" t="n">
        <v>7.8</v>
      </c>
      <c r="H114" t="n">
        <v>1</v>
      </c>
      <c r="I114" t="n">
        <v>1</v>
      </c>
      <c r="J114" t="n">
        <v>0</v>
      </c>
      <c r="K114" t="n">
        <v>0</v>
      </c>
      <c r="L114" t="n">
        <v>0</v>
      </c>
      <c r="M114" t="n">
        <v>0</v>
      </c>
      <c r="N114" t="n">
        <v>0</v>
      </c>
      <c r="O114" t="n">
        <v>0</v>
      </c>
      <c r="P114" t="n">
        <v>0</v>
      </c>
      <c r="Q114" t="n">
        <v>1</v>
      </c>
      <c r="R114" s="2" t="inlineStr">
        <is>
          <t>Nästrot</t>
        </is>
      </c>
      <c r="S114">
        <f>HYPERLINK("https://klasma.github.io/Logging_0980/artfynd/A 8589-2019 artfynd.xlsx", "A 8589-2019")</f>
        <v/>
      </c>
      <c r="T114">
        <f>HYPERLINK("https://klasma.github.io/Logging_0980/kartor/A 8589-2019 karta.png", "A 8589-2019")</f>
        <v/>
      </c>
      <c r="V114">
        <f>HYPERLINK("https://klasma.github.io/Logging_0980/klagomål/A 8589-2019 FSC-klagomål.docx", "A 8589-2019")</f>
        <v/>
      </c>
      <c r="W114">
        <f>HYPERLINK("https://klasma.github.io/Logging_0980/klagomålsmail/A 8589-2019 FSC-klagomål mail.docx", "A 8589-2019")</f>
        <v/>
      </c>
      <c r="X114">
        <f>HYPERLINK("https://klasma.github.io/Logging_0980/tillsyn/A 8589-2019 tillsynsbegäran.docx", "A 8589-2019")</f>
        <v/>
      </c>
      <c r="Y114">
        <f>HYPERLINK("https://klasma.github.io/Logging_0980/tillsynsmail/A 8589-2019 tillsynsbegäran mail.docx", "A 8589-2019")</f>
        <v/>
      </c>
    </row>
    <row r="115" ht="15" customHeight="1">
      <c r="A115" t="inlineStr">
        <is>
          <t>A 13893-2019</t>
        </is>
      </c>
      <c r="B115" s="1" t="n">
        <v>43531</v>
      </c>
      <c r="C115" s="1" t="n">
        <v>45213</v>
      </c>
      <c r="D115" t="inlineStr">
        <is>
          <t>GOTLANDS LÄN</t>
        </is>
      </c>
      <c r="E115" t="inlineStr">
        <is>
          <t>GOTLAND</t>
        </is>
      </c>
      <c r="G115" t="n">
        <v>10.3</v>
      </c>
      <c r="H115" t="n">
        <v>0</v>
      </c>
      <c r="I115" t="n">
        <v>1</v>
      </c>
      <c r="J115" t="n">
        <v>0</v>
      </c>
      <c r="K115" t="n">
        <v>0</v>
      </c>
      <c r="L115" t="n">
        <v>0</v>
      </c>
      <c r="M115" t="n">
        <v>0</v>
      </c>
      <c r="N115" t="n">
        <v>0</v>
      </c>
      <c r="O115" t="n">
        <v>0</v>
      </c>
      <c r="P115" t="n">
        <v>0</v>
      </c>
      <c r="Q115" t="n">
        <v>1</v>
      </c>
      <c r="R115" s="2" t="inlineStr">
        <is>
          <t>Tibast</t>
        </is>
      </c>
      <c r="S115">
        <f>HYPERLINK("https://klasma.github.io/Logging_0980/artfynd/A 13893-2019 artfynd.xlsx", "A 13893-2019")</f>
        <v/>
      </c>
      <c r="T115">
        <f>HYPERLINK("https://klasma.github.io/Logging_0980/kartor/A 13893-2019 karta.png", "A 13893-2019")</f>
        <v/>
      </c>
      <c r="V115">
        <f>HYPERLINK("https://klasma.github.io/Logging_0980/klagomål/A 13893-2019 FSC-klagomål.docx", "A 13893-2019")</f>
        <v/>
      </c>
      <c r="W115">
        <f>HYPERLINK("https://klasma.github.io/Logging_0980/klagomålsmail/A 13893-2019 FSC-klagomål mail.docx", "A 13893-2019")</f>
        <v/>
      </c>
      <c r="X115">
        <f>HYPERLINK("https://klasma.github.io/Logging_0980/tillsyn/A 13893-2019 tillsynsbegäran.docx", "A 13893-2019")</f>
        <v/>
      </c>
      <c r="Y115">
        <f>HYPERLINK("https://klasma.github.io/Logging_0980/tillsynsmail/A 13893-2019 tillsynsbegäran mail.docx", "A 13893-2019")</f>
        <v/>
      </c>
    </row>
    <row r="116" ht="15" customHeight="1">
      <c r="A116" t="inlineStr">
        <is>
          <t>A 16510-2019</t>
        </is>
      </c>
      <c r="B116" s="1" t="n">
        <v>43546</v>
      </c>
      <c r="C116" s="1" t="n">
        <v>45213</v>
      </c>
      <c r="D116" t="inlineStr">
        <is>
          <t>GOTLANDS LÄN</t>
        </is>
      </c>
      <c r="E116" t="inlineStr">
        <is>
          <t>GOTLAND</t>
        </is>
      </c>
      <c r="G116" t="n">
        <v>6.6</v>
      </c>
      <c r="H116" t="n">
        <v>0</v>
      </c>
      <c r="I116" t="n">
        <v>0</v>
      </c>
      <c r="J116" t="n">
        <v>0</v>
      </c>
      <c r="K116" t="n">
        <v>1</v>
      </c>
      <c r="L116" t="n">
        <v>0</v>
      </c>
      <c r="M116" t="n">
        <v>0</v>
      </c>
      <c r="N116" t="n">
        <v>0</v>
      </c>
      <c r="O116" t="n">
        <v>1</v>
      </c>
      <c r="P116" t="n">
        <v>1</v>
      </c>
      <c r="Q116" t="n">
        <v>1</v>
      </c>
      <c r="R116" s="2" t="inlineStr">
        <is>
          <t>Oxhorndyvel</t>
        </is>
      </c>
      <c r="S116">
        <f>HYPERLINK("https://klasma.github.io/Logging_0980/artfynd/A 16510-2019 artfynd.xlsx", "A 16510-2019")</f>
        <v/>
      </c>
      <c r="T116">
        <f>HYPERLINK("https://klasma.github.io/Logging_0980/kartor/A 16510-2019 karta.png", "A 16510-2019")</f>
        <v/>
      </c>
      <c r="V116">
        <f>HYPERLINK("https://klasma.github.io/Logging_0980/klagomål/A 16510-2019 FSC-klagomål.docx", "A 16510-2019")</f>
        <v/>
      </c>
      <c r="W116">
        <f>HYPERLINK("https://klasma.github.io/Logging_0980/klagomålsmail/A 16510-2019 FSC-klagomål mail.docx", "A 16510-2019")</f>
        <v/>
      </c>
      <c r="X116">
        <f>HYPERLINK("https://klasma.github.io/Logging_0980/tillsyn/A 16510-2019 tillsynsbegäran.docx", "A 16510-2019")</f>
        <v/>
      </c>
      <c r="Y116">
        <f>HYPERLINK("https://klasma.github.io/Logging_0980/tillsynsmail/A 16510-2019 tillsynsbegäran mail.docx", "A 16510-2019")</f>
        <v/>
      </c>
    </row>
    <row r="117" ht="15" customHeight="1">
      <c r="A117" t="inlineStr">
        <is>
          <t>A 18223-2019</t>
        </is>
      </c>
      <c r="B117" s="1" t="n">
        <v>43558</v>
      </c>
      <c r="C117" s="1" t="n">
        <v>45213</v>
      </c>
      <c r="D117" t="inlineStr">
        <is>
          <t>GOTLANDS LÄN</t>
        </is>
      </c>
      <c r="E117" t="inlineStr">
        <is>
          <t>GOTLAND</t>
        </is>
      </c>
      <c r="G117" t="n">
        <v>1.1</v>
      </c>
      <c r="H117" t="n">
        <v>1</v>
      </c>
      <c r="I117" t="n">
        <v>0</v>
      </c>
      <c r="J117" t="n">
        <v>1</v>
      </c>
      <c r="K117" t="n">
        <v>0</v>
      </c>
      <c r="L117" t="n">
        <v>0</v>
      </c>
      <c r="M117" t="n">
        <v>0</v>
      </c>
      <c r="N117" t="n">
        <v>0</v>
      </c>
      <c r="O117" t="n">
        <v>1</v>
      </c>
      <c r="P117" t="n">
        <v>0</v>
      </c>
      <c r="Q117" t="n">
        <v>1</v>
      </c>
      <c r="R117" s="2" t="inlineStr">
        <is>
          <t>Dårgräsfjäril</t>
        </is>
      </c>
      <c r="S117">
        <f>HYPERLINK("https://klasma.github.io/Logging_0980/artfynd/A 18223-2019 artfynd.xlsx", "A 18223-2019")</f>
        <v/>
      </c>
      <c r="T117">
        <f>HYPERLINK("https://klasma.github.io/Logging_0980/kartor/A 18223-2019 karta.png", "A 18223-2019")</f>
        <v/>
      </c>
      <c r="V117">
        <f>HYPERLINK("https://klasma.github.io/Logging_0980/klagomål/A 18223-2019 FSC-klagomål.docx", "A 18223-2019")</f>
        <v/>
      </c>
      <c r="W117">
        <f>HYPERLINK("https://klasma.github.io/Logging_0980/klagomålsmail/A 18223-2019 FSC-klagomål mail.docx", "A 18223-2019")</f>
        <v/>
      </c>
      <c r="X117">
        <f>HYPERLINK("https://klasma.github.io/Logging_0980/tillsyn/A 18223-2019 tillsynsbegäran.docx", "A 18223-2019")</f>
        <v/>
      </c>
      <c r="Y117">
        <f>HYPERLINK("https://klasma.github.io/Logging_0980/tillsynsmail/A 18223-2019 tillsynsbegäran mail.docx", "A 18223-2019")</f>
        <v/>
      </c>
    </row>
    <row r="118" ht="15" customHeight="1">
      <c r="A118" t="inlineStr">
        <is>
          <t>A 23016-2019</t>
        </is>
      </c>
      <c r="B118" s="1" t="n">
        <v>43591</v>
      </c>
      <c r="C118" s="1" t="n">
        <v>45213</v>
      </c>
      <c r="D118" t="inlineStr">
        <is>
          <t>GOTLANDS LÄN</t>
        </is>
      </c>
      <c r="E118" t="inlineStr">
        <is>
          <t>GOTLAND</t>
        </is>
      </c>
      <c r="G118" t="n">
        <v>7.9</v>
      </c>
      <c r="H118" t="n">
        <v>1</v>
      </c>
      <c r="I118" t="n">
        <v>0</v>
      </c>
      <c r="J118" t="n">
        <v>0</v>
      </c>
      <c r="K118" t="n">
        <v>0</v>
      </c>
      <c r="L118" t="n">
        <v>0</v>
      </c>
      <c r="M118" t="n">
        <v>0</v>
      </c>
      <c r="N118" t="n">
        <v>0</v>
      </c>
      <c r="O118" t="n">
        <v>0</v>
      </c>
      <c r="P118" t="n">
        <v>0</v>
      </c>
      <c r="Q118" t="n">
        <v>1</v>
      </c>
      <c r="R118" s="2" t="inlineStr">
        <is>
          <t>Lopplummer</t>
        </is>
      </c>
      <c r="S118">
        <f>HYPERLINK("https://klasma.github.io/Logging_0980/artfynd/A 23016-2019 artfynd.xlsx", "A 23016-2019")</f>
        <v/>
      </c>
      <c r="T118">
        <f>HYPERLINK("https://klasma.github.io/Logging_0980/kartor/A 23016-2019 karta.png", "A 23016-2019")</f>
        <v/>
      </c>
      <c r="V118">
        <f>HYPERLINK("https://klasma.github.io/Logging_0980/klagomål/A 23016-2019 FSC-klagomål.docx", "A 23016-2019")</f>
        <v/>
      </c>
      <c r="W118">
        <f>HYPERLINK("https://klasma.github.io/Logging_0980/klagomålsmail/A 23016-2019 FSC-klagomål mail.docx", "A 23016-2019")</f>
        <v/>
      </c>
      <c r="X118">
        <f>HYPERLINK("https://klasma.github.io/Logging_0980/tillsyn/A 23016-2019 tillsynsbegäran.docx", "A 23016-2019")</f>
        <v/>
      </c>
      <c r="Y118">
        <f>HYPERLINK("https://klasma.github.io/Logging_0980/tillsynsmail/A 23016-2019 tillsynsbegäran mail.docx", "A 23016-2019")</f>
        <v/>
      </c>
    </row>
    <row r="119" ht="15" customHeight="1">
      <c r="A119" t="inlineStr">
        <is>
          <t>A 32963-2019</t>
        </is>
      </c>
      <c r="B119" s="1" t="n">
        <v>43648</v>
      </c>
      <c r="C119" s="1" t="n">
        <v>45213</v>
      </c>
      <c r="D119" t="inlineStr">
        <is>
          <t>GOTLANDS LÄN</t>
        </is>
      </c>
      <c r="E119" t="inlineStr">
        <is>
          <t>GOTLAND</t>
        </is>
      </c>
      <c r="G119" t="n">
        <v>5.8</v>
      </c>
      <c r="H119" t="n">
        <v>0</v>
      </c>
      <c r="I119" t="n">
        <v>0</v>
      </c>
      <c r="J119" t="n">
        <v>1</v>
      </c>
      <c r="K119" t="n">
        <v>0</v>
      </c>
      <c r="L119" t="n">
        <v>0</v>
      </c>
      <c r="M119" t="n">
        <v>0</v>
      </c>
      <c r="N119" t="n">
        <v>0</v>
      </c>
      <c r="O119" t="n">
        <v>1</v>
      </c>
      <c r="P119" t="n">
        <v>0</v>
      </c>
      <c r="Q119" t="n">
        <v>1</v>
      </c>
      <c r="R119" s="2" t="inlineStr">
        <is>
          <t>Mindre blåvinge</t>
        </is>
      </c>
      <c r="S119">
        <f>HYPERLINK("https://klasma.github.io/Logging_0980/artfynd/A 32963-2019 artfynd.xlsx", "A 32963-2019")</f>
        <v/>
      </c>
      <c r="T119">
        <f>HYPERLINK("https://klasma.github.io/Logging_0980/kartor/A 32963-2019 karta.png", "A 32963-2019")</f>
        <v/>
      </c>
      <c r="V119">
        <f>HYPERLINK("https://klasma.github.io/Logging_0980/klagomål/A 32963-2019 FSC-klagomål.docx", "A 32963-2019")</f>
        <v/>
      </c>
      <c r="W119">
        <f>HYPERLINK("https://klasma.github.io/Logging_0980/klagomålsmail/A 32963-2019 FSC-klagomål mail.docx", "A 32963-2019")</f>
        <v/>
      </c>
      <c r="X119">
        <f>HYPERLINK("https://klasma.github.io/Logging_0980/tillsyn/A 32963-2019 tillsynsbegäran.docx", "A 32963-2019")</f>
        <v/>
      </c>
      <c r="Y119">
        <f>HYPERLINK("https://klasma.github.io/Logging_0980/tillsynsmail/A 32963-2019 tillsynsbegäran mail.docx", "A 32963-2019")</f>
        <v/>
      </c>
    </row>
    <row r="120" ht="15" customHeight="1">
      <c r="A120" t="inlineStr">
        <is>
          <t>A 48584-2019</t>
        </is>
      </c>
      <c r="B120" s="1" t="n">
        <v>43727</v>
      </c>
      <c r="C120" s="1" t="n">
        <v>45213</v>
      </c>
      <c r="D120" t="inlineStr">
        <is>
          <t>GOTLANDS LÄN</t>
        </is>
      </c>
      <c r="E120" t="inlineStr">
        <is>
          <t>GOTLAND</t>
        </is>
      </c>
      <c r="G120" t="n">
        <v>4.4</v>
      </c>
      <c r="H120" t="n">
        <v>0</v>
      </c>
      <c r="I120" t="n">
        <v>1</v>
      </c>
      <c r="J120" t="n">
        <v>0</v>
      </c>
      <c r="K120" t="n">
        <v>0</v>
      </c>
      <c r="L120" t="n">
        <v>0</v>
      </c>
      <c r="M120" t="n">
        <v>0</v>
      </c>
      <c r="N120" t="n">
        <v>0</v>
      </c>
      <c r="O120" t="n">
        <v>0</v>
      </c>
      <c r="P120" t="n">
        <v>0</v>
      </c>
      <c r="Q120" t="n">
        <v>1</v>
      </c>
      <c r="R120" s="2" t="inlineStr">
        <is>
          <t>Scharlakansskål</t>
        </is>
      </c>
      <c r="S120">
        <f>HYPERLINK("https://klasma.github.io/Logging_0980/artfynd/A 48584-2019 artfynd.xlsx", "A 48584-2019")</f>
        <v/>
      </c>
      <c r="T120">
        <f>HYPERLINK("https://klasma.github.io/Logging_0980/kartor/A 48584-2019 karta.png", "A 48584-2019")</f>
        <v/>
      </c>
      <c r="V120">
        <f>HYPERLINK("https://klasma.github.io/Logging_0980/klagomål/A 48584-2019 FSC-klagomål.docx", "A 48584-2019")</f>
        <v/>
      </c>
      <c r="W120">
        <f>HYPERLINK("https://klasma.github.io/Logging_0980/klagomålsmail/A 48584-2019 FSC-klagomål mail.docx", "A 48584-2019")</f>
        <v/>
      </c>
      <c r="X120">
        <f>HYPERLINK("https://klasma.github.io/Logging_0980/tillsyn/A 48584-2019 tillsynsbegäran.docx", "A 48584-2019")</f>
        <v/>
      </c>
      <c r="Y120">
        <f>HYPERLINK("https://klasma.github.io/Logging_0980/tillsynsmail/A 48584-2019 tillsynsbegäran mail.docx", "A 48584-2019")</f>
        <v/>
      </c>
    </row>
    <row r="121" ht="15" customHeight="1">
      <c r="A121" t="inlineStr">
        <is>
          <t>A 68988-2019</t>
        </is>
      </c>
      <c r="B121" s="1" t="n">
        <v>43826</v>
      </c>
      <c r="C121" s="1" t="n">
        <v>45213</v>
      </c>
      <c r="D121" t="inlineStr">
        <is>
          <t>GOTLANDS LÄN</t>
        </is>
      </c>
      <c r="E121" t="inlineStr">
        <is>
          <t>GOTLAND</t>
        </is>
      </c>
      <c r="F121" t="inlineStr">
        <is>
          <t>Kyrkan</t>
        </is>
      </c>
      <c r="G121" t="n">
        <v>4.6</v>
      </c>
      <c r="H121" t="n">
        <v>0</v>
      </c>
      <c r="I121" t="n">
        <v>1</v>
      </c>
      <c r="J121" t="n">
        <v>0</v>
      </c>
      <c r="K121" t="n">
        <v>0</v>
      </c>
      <c r="L121" t="n">
        <v>0</v>
      </c>
      <c r="M121" t="n">
        <v>0</v>
      </c>
      <c r="N121" t="n">
        <v>0</v>
      </c>
      <c r="O121" t="n">
        <v>0</v>
      </c>
      <c r="P121" t="n">
        <v>0</v>
      </c>
      <c r="Q121" t="n">
        <v>1</v>
      </c>
      <c r="R121" s="2" t="inlineStr">
        <is>
          <t>Kattfotslav</t>
        </is>
      </c>
      <c r="S121">
        <f>HYPERLINK("https://klasma.github.io/Logging_0980/artfynd/A 68988-2019 artfynd.xlsx", "A 68988-2019")</f>
        <v/>
      </c>
      <c r="T121">
        <f>HYPERLINK("https://klasma.github.io/Logging_0980/kartor/A 68988-2019 karta.png", "A 68988-2019")</f>
        <v/>
      </c>
      <c r="V121">
        <f>HYPERLINK("https://klasma.github.io/Logging_0980/klagomål/A 68988-2019 FSC-klagomål.docx", "A 68988-2019")</f>
        <v/>
      </c>
      <c r="W121">
        <f>HYPERLINK("https://klasma.github.io/Logging_0980/klagomålsmail/A 68988-2019 FSC-klagomål mail.docx", "A 68988-2019")</f>
        <v/>
      </c>
      <c r="X121">
        <f>HYPERLINK("https://klasma.github.io/Logging_0980/tillsyn/A 68988-2019 tillsynsbegäran.docx", "A 68988-2019")</f>
        <v/>
      </c>
      <c r="Y121">
        <f>HYPERLINK("https://klasma.github.io/Logging_0980/tillsynsmail/A 68988-2019 tillsynsbegäran mail.docx", "A 68988-2019")</f>
        <v/>
      </c>
    </row>
    <row r="122" ht="15" customHeight="1">
      <c r="A122" t="inlineStr">
        <is>
          <t>A 14010-2020</t>
        </is>
      </c>
      <c r="B122" s="1" t="n">
        <v>43899</v>
      </c>
      <c r="C122" s="1" t="n">
        <v>45213</v>
      </c>
      <c r="D122" t="inlineStr">
        <is>
          <t>GOTLANDS LÄN</t>
        </is>
      </c>
      <c r="E122" t="inlineStr">
        <is>
          <t>GOTLAND</t>
        </is>
      </c>
      <c r="G122" t="n">
        <v>0.6</v>
      </c>
      <c r="H122" t="n">
        <v>1</v>
      </c>
      <c r="I122" t="n">
        <v>0</v>
      </c>
      <c r="J122" t="n">
        <v>1</v>
      </c>
      <c r="K122" t="n">
        <v>0</v>
      </c>
      <c r="L122" t="n">
        <v>0</v>
      </c>
      <c r="M122" t="n">
        <v>0</v>
      </c>
      <c r="N122" t="n">
        <v>0</v>
      </c>
      <c r="O122" t="n">
        <v>1</v>
      </c>
      <c r="P122" t="n">
        <v>0</v>
      </c>
      <c r="Q122" t="n">
        <v>1</v>
      </c>
      <c r="R122" s="2" t="inlineStr">
        <is>
          <t>Gulsparv</t>
        </is>
      </c>
      <c r="S122">
        <f>HYPERLINK("https://klasma.github.io/Logging_0980/artfynd/A 14010-2020 artfynd.xlsx", "A 14010-2020")</f>
        <v/>
      </c>
      <c r="T122">
        <f>HYPERLINK("https://klasma.github.io/Logging_0980/kartor/A 14010-2020 karta.png", "A 14010-2020")</f>
        <v/>
      </c>
      <c r="V122">
        <f>HYPERLINK("https://klasma.github.io/Logging_0980/klagomål/A 14010-2020 FSC-klagomål.docx", "A 14010-2020")</f>
        <v/>
      </c>
      <c r="W122">
        <f>HYPERLINK("https://klasma.github.io/Logging_0980/klagomålsmail/A 14010-2020 FSC-klagomål mail.docx", "A 14010-2020")</f>
        <v/>
      </c>
      <c r="X122">
        <f>HYPERLINK("https://klasma.github.io/Logging_0980/tillsyn/A 14010-2020 tillsynsbegäran.docx", "A 14010-2020")</f>
        <v/>
      </c>
      <c r="Y122">
        <f>HYPERLINK("https://klasma.github.io/Logging_0980/tillsynsmail/A 14010-2020 tillsynsbegäran mail.docx", "A 14010-2020")</f>
        <v/>
      </c>
    </row>
    <row r="123" ht="15" customHeight="1">
      <c r="A123" t="inlineStr">
        <is>
          <t>A 16786-2020</t>
        </is>
      </c>
      <c r="B123" s="1" t="n">
        <v>43913</v>
      </c>
      <c r="C123" s="1" t="n">
        <v>45213</v>
      </c>
      <c r="D123" t="inlineStr">
        <is>
          <t>GOTLANDS LÄN</t>
        </is>
      </c>
      <c r="E123" t="inlineStr">
        <is>
          <t>GOTLAND</t>
        </is>
      </c>
      <c r="G123" t="n">
        <v>5.9</v>
      </c>
      <c r="H123" t="n">
        <v>0</v>
      </c>
      <c r="I123" t="n">
        <v>1</v>
      </c>
      <c r="J123" t="n">
        <v>0</v>
      </c>
      <c r="K123" t="n">
        <v>0</v>
      </c>
      <c r="L123" t="n">
        <v>0</v>
      </c>
      <c r="M123" t="n">
        <v>0</v>
      </c>
      <c r="N123" t="n">
        <v>0</v>
      </c>
      <c r="O123" t="n">
        <v>0</v>
      </c>
      <c r="P123" t="n">
        <v>0</v>
      </c>
      <c r="Q123" t="n">
        <v>1</v>
      </c>
      <c r="R123" s="2" t="inlineStr">
        <is>
          <t>Skarp dropptaggsvamp</t>
        </is>
      </c>
      <c r="S123">
        <f>HYPERLINK("https://klasma.github.io/Logging_0980/artfynd/A 16786-2020 artfynd.xlsx", "A 16786-2020")</f>
        <v/>
      </c>
      <c r="T123">
        <f>HYPERLINK("https://klasma.github.io/Logging_0980/kartor/A 16786-2020 karta.png", "A 16786-2020")</f>
        <v/>
      </c>
      <c r="V123">
        <f>HYPERLINK("https://klasma.github.io/Logging_0980/klagomål/A 16786-2020 FSC-klagomål.docx", "A 16786-2020")</f>
        <v/>
      </c>
      <c r="W123">
        <f>HYPERLINK("https://klasma.github.io/Logging_0980/klagomålsmail/A 16786-2020 FSC-klagomål mail.docx", "A 16786-2020")</f>
        <v/>
      </c>
      <c r="X123">
        <f>HYPERLINK("https://klasma.github.io/Logging_0980/tillsyn/A 16786-2020 tillsynsbegäran.docx", "A 16786-2020")</f>
        <v/>
      </c>
      <c r="Y123">
        <f>HYPERLINK("https://klasma.github.io/Logging_0980/tillsynsmail/A 16786-2020 tillsynsbegäran mail.docx", "A 16786-2020")</f>
        <v/>
      </c>
    </row>
    <row r="124" ht="15" customHeight="1">
      <c r="A124" t="inlineStr">
        <is>
          <t>A 21753-2020</t>
        </is>
      </c>
      <c r="B124" s="1" t="n">
        <v>43957</v>
      </c>
      <c r="C124" s="1" t="n">
        <v>45213</v>
      </c>
      <c r="D124" t="inlineStr">
        <is>
          <t>GOTLANDS LÄN</t>
        </is>
      </c>
      <c r="E124" t="inlineStr">
        <is>
          <t>GOTLAND</t>
        </is>
      </c>
      <c r="G124" t="n">
        <v>3.5</v>
      </c>
      <c r="H124" t="n">
        <v>0</v>
      </c>
      <c r="I124" t="n">
        <v>0</v>
      </c>
      <c r="J124" t="n">
        <v>0</v>
      </c>
      <c r="K124" t="n">
        <v>0</v>
      </c>
      <c r="L124" t="n">
        <v>0</v>
      </c>
      <c r="M124" t="n">
        <v>1</v>
      </c>
      <c r="N124" t="n">
        <v>0</v>
      </c>
      <c r="O124" t="n">
        <v>1</v>
      </c>
      <c r="P124" t="n">
        <v>1</v>
      </c>
      <c r="Q124" t="n">
        <v>1</v>
      </c>
      <c r="R124" s="2" t="inlineStr">
        <is>
          <t>Skogsalm</t>
        </is>
      </c>
      <c r="S124">
        <f>HYPERLINK("https://klasma.github.io/Logging_0980/artfynd/A 21753-2020 artfynd.xlsx", "A 21753-2020")</f>
        <v/>
      </c>
      <c r="T124">
        <f>HYPERLINK("https://klasma.github.io/Logging_0980/kartor/A 21753-2020 karta.png", "A 21753-2020")</f>
        <v/>
      </c>
      <c r="V124">
        <f>HYPERLINK("https://klasma.github.io/Logging_0980/klagomål/A 21753-2020 FSC-klagomål.docx", "A 21753-2020")</f>
        <v/>
      </c>
      <c r="W124">
        <f>HYPERLINK("https://klasma.github.io/Logging_0980/klagomålsmail/A 21753-2020 FSC-klagomål mail.docx", "A 21753-2020")</f>
        <v/>
      </c>
      <c r="X124">
        <f>HYPERLINK("https://klasma.github.io/Logging_0980/tillsyn/A 21753-2020 tillsynsbegäran.docx", "A 21753-2020")</f>
        <v/>
      </c>
      <c r="Y124">
        <f>HYPERLINK("https://klasma.github.io/Logging_0980/tillsynsmail/A 21753-2020 tillsynsbegäran mail.docx", "A 21753-2020")</f>
        <v/>
      </c>
    </row>
    <row r="125" ht="15" customHeight="1">
      <c r="A125" t="inlineStr">
        <is>
          <t>A 22628-2020</t>
        </is>
      </c>
      <c r="B125" s="1" t="n">
        <v>43963</v>
      </c>
      <c r="C125" s="1" t="n">
        <v>45213</v>
      </c>
      <c r="D125" t="inlineStr">
        <is>
          <t>GOTLANDS LÄN</t>
        </is>
      </c>
      <c r="E125" t="inlineStr">
        <is>
          <t>GOTLAND</t>
        </is>
      </c>
      <c r="G125" t="n">
        <v>4.3</v>
      </c>
      <c r="H125" t="n">
        <v>0</v>
      </c>
      <c r="I125" t="n">
        <v>0</v>
      </c>
      <c r="J125" t="n">
        <v>0</v>
      </c>
      <c r="K125" t="n">
        <v>1</v>
      </c>
      <c r="L125" t="n">
        <v>0</v>
      </c>
      <c r="M125" t="n">
        <v>0</v>
      </c>
      <c r="N125" t="n">
        <v>0</v>
      </c>
      <c r="O125" t="n">
        <v>1</v>
      </c>
      <c r="P125" t="n">
        <v>1</v>
      </c>
      <c r="Q125" t="n">
        <v>1</v>
      </c>
      <c r="R125" s="2" t="inlineStr">
        <is>
          <t>Gotlandsmåra</t>
        </is>
      </c>
      <c r="S125">
        <f>HYPERLINK("https://klasma.github.io/Logging_0980/artfynd/A 22628-2020 artfynd.xlsx", "A 22628-2020")</f>
        <v/>
      </c>
      <c r="T125">
        <f>HYPERLINK("https://klasma.github.io/Logging_0980/kartor/A 22628-2020 karta.png", "A 22628-2020")</f>
        <v/>
      </c>
      <c r="V125">
        <f>HYPERLINK("https://klasma.github.io/Logging_0980/klagomål/A 22628-2020 FSC-klagomål.docx", "A 22628-2020")</f>
        <v/>
      </c>
      <c r="W125">
        <f>HYPERLINK("https://klasma.github.io/Logging_0980/klagomålsmail/A 22628-2020 FSC-klagomål mail.docx", "A 22628-2020")</f>
        <v/>
      </c>
      <c r="X125">
        <f>HYPERLINK("https://klasma.github.io/Logging_0980/tillsyn/A 22628-2020 tillsynsbegäran.docx", "A 22628-2020")</f>
        <v/>
      </c>
      <c r="Y125">
        <f>HYPERLINK("https://klasma.github.io/Logging_0980/tillsynsmail/A 22628-2020 tillsynsbegäran mail.docx", "A 22628-2020")</f>
        <v/>
      </c>
    </row>
    <row r="126" ht="15" customHeight="1">
      <c r="A126" t="inlineStr">
        <is>
          <t>A 39999-2020</t>
        </is>
      </c>
      <c r="B126" s="1" t="n">
        <v>44067</v>
      </c>
      <c r="C126" s="1" t="n">
        <v>45213</v>
      </c>
      <c r="D126" t="inlineStr">
        <is>
          <t>GOTLANDS LÄN</t>
        </is>
      </c>
      <c r="E126" t="inlineStr">
        <is>
          <t>GOTLAND</t>
        </is>
      </c>
      <c r="G126" t="n">
        <v>1.8</v>
      </c>
      <c r="H126" t="n">
        <v>0</v>
      </c>
      <c r="I126" t="n">
        <v>1</v>
      </c>
      <c r="J126" t="n">
        <v>0</v>
      </c>
      <c r="K126" t="n">
        <v>0</v>
      </c>
      <c r="L126" t="n">
        <v>0</v>
      </c>
      <c r="M126" t="n">
        <v>0</v>
      </c>
      <c r="N126" t="n">
        <v>0</v>
      </c>
      <c r="O126" t="n">
        <v>0</v>
      </c>
      <c r="P126" t="n">
        <v>0</v>
      </c>
      <c r="Q126" t="n">
        <v>1</v>
      </c>
      <c r="R126" s="2" t="inlineStr">
        <is>
          <t>Strävlosta</t>
        </is>
      </c>
      <c r="S126">
        <f>HYPERLINK("https://klasma.github.io/Logging_0980/artfynd/A 39999-2020 artfynd.xlsx", "A 39999-2020")</f>
        <v/>
      </c>
      <c r="T126">
        <f>HYPERLINK("https://klasma.github.io/Logging_0980/kartor/A 39999-2020 karta.png", "A 39999-2020")</f>
        <v/>
      </c>
      <c r="V126">
        <f>HYPERLINK("https://klasma.github.io/Logging_0980/klagomål/A 39999-2020 FSC-klagomål.docx", "A 39999-2020")</f>
        <v/>
      </c>
      <c r="W126">
        <f>HYPERLINK("https://klasma.github.io/Logging_0980/klagomålsmail/A 39999-2020 FSC-klagomål mail.docx", "A 39999-2020")</f>
        <v/>
      </c>
      <c r="X126">
        <f>HYPERLINK("https://klasma.github.io/Logging_0980/tillsyn/A 39999-2020 tillsynsbegäran.docx", "A 39999-2020")</f>
        <v/>
      </c>
      <c r="Y126">
        <f>HYPERLINK("https://klasma.github.io/Logging_0980/tillsynsmail/A 39999-2020 tillsynsbegäran mail.docx", "A 39999-2020")</f>
        <v/>
      </c>
    </row>
    <row r="127" ht="15" customHeight="1">
      <c r="A127" t="inlineStr">
        <is>
          <t>A 40266-2020</t>
        </is>
      </c>
      <c r="B127" s="1" t="n">
        <v>44068</v>
      </c>
      <c r="C127" s="1" t="n">
        <v>45213</v>
      </c>
      <c r="D127" t="inlineStr">
        <is>
          <t>GOTLANDS LÄN</t>
        </is>
      </c>
      <c r="E127" t="inlineStr">
        <is>
          <t>GOTLAND</t>
        </is>
      </c>
      <c r="F127" t="inlineStr">
        <is>
          <t>Kyrkan</t>
        </is>
      </c>
      <c r="G127" t="n">
        <v>1.3</v>
      </c>
      <c r="H127" t="n">
        <v>1</v>
      </c>
      <c r="I127" t="n">
        <v>0</v>
      </c>
      <c r="J127" t="n">
        <v>1</v>
      </c>
      <c r="K127" t="n">
        <v>0</v>
      </c>
      <c r="L127" t="n">
        <v>0</v>
      </c>
      <c r="M127" t="n">
        <v>0</v>
      </c>
      <c r="N127" t="n">
        <v>0</v>
      </c>
      <c r="O127" t="n">
        <v>1</v>
      </c>
      <c r="P127" t="n">
        <v>0</v>
      </c>
      <c r="Q127" t="n">
        <v>1</v>
      </c>
      <c r="R127" s="2" t="inlineStr">
        <is>
          <t>Dårgräsfjäril</t>
        </is>
      </c>
      <c r="S127">
        <f>HYPERLINK("https://klasma.github.io/Logging_0980/artfynd/A 40266-2020 artfynd.xlsx", "A 40266-2020")</f>
        <v/>
      </c>
      <c r="T127">
        <f>HYPERLINK("https://klasma.github.io/Logging_0980/kartor/A 40266-2020 karta.png", "A 40266-2020")</f>
        <v/>
      </c>
      <c r="V127">
        <f>HYPERLINK("https://klasma.github.io/Logging_0980/klagomål/A 40266-2020 FSC-klagomål.docx", "A 40266-2020")</f>
        <v/>
      </c>
      <c r="W127">
        <f>HYPERLINK("https://klasma.github.io/Logging_0980/klagomålsmail/A 40266-2020 FSC-klagomål mail.docx", "A 40266-2020")</f>
        <v/>
      </c>
      <c r="X127">
        <f>HYPERLINK("https://klasma.github.io/Logging_0980/tillsyn/A 40266-2020 tillsynsbegäran.docx", "A 40266-2020")</f>
        <v/>
      </c>
      <c r="Y127">
        <f>HYPERLINK("https://klasma.github.io/Logging_0980/tillsynsmail/A 40266-2020 tillsynsbegäran mail.docx", "A 40266-2020")</f>
        <v/>
      </c>
    </row>
    <row r="128" ht="15" customHeight="1">
      <c r="A128" t="inlineStr">
        <is>
          <t>A 41065-2020</t>
        </is>
      </c>
      <c r="B128" s="1" t="n">
        <v>44069</v>
      </c>
      <c r="C128" s="1" t="n">
        <v>45213</v>
      </c>
      <c r="D128" t="inlineStr">
        <is>
          <t>GOTLANDS LÄN</t>
        </is>
      </c>
      <c r="E128" t="inlineStr">
        <is>
          <t>GOTLAND</t>
        </is>
      </c>
      <c r="G128" t="n">
        <v>12</v>
      </c>
      <c r="H128" t="n">
        <v>0</v>
      </c>
      <c r="I128" t="n">
        <v>1</v>
      </c>
      <c r="J128" t="n">
        <v>0</v>
      </c>
      <c r="K128" t="n">
        <v>0</v>
      </c>
      <c r="L128" t="n">
        <v>0</v>
      </c>
      <c r="M128" t="n">
        <v>0</v>
      </c>
      <c r="N128" t="n">
        <v>0</v>
      </c>
      <c r="O128" t="n">
        <v>0</v>
      </c>
      <c r="P128" t="n">
        <v>0</v>
      </c>
      <c r="Q128" t="n">
        <v>1</v>
      </c>
      <c r="R128" s="2" t="inlineStr">
        <is>
          <t>Myskmadra</t>
        </is>
      </c>
      <c r="S128">
        <f>HYPERLINK("https://klasma.github.io/Logging_0980/artfynd/A 41065-2020 artfynd.xlsx", "A 41065-2020")</f>
        <v/>
      </c>
      <c r="T128">
        <f>HYPERLINK("https://klasma.github.io/Logging_0980/kartor/A 41065-2020 karta.png", "A 41065-2020")</f>
        <v/>
      </c>
      <c r="V128">
        <f>HYPERLINK("https://klasma.github.io/Logging_0980/klagomål/A 41065-2020 FSC-klagomål.docx", "A 41065-2020")</f>
        <v/>
      </c>
      <c r="W128">
        <f>HYPERLINK("https://klasma.github.io/Logging_0980/klagomålsmail/A 41065-2020 FSC-klagomål mail.docx", "A 41065-2020")</f>
        <v/>
      </c>
      <c r="X128">
        <f>HYPERLINK("https://klasma.github.io/Logging_0980/tillsyn/A 41065-2020 tillsynsbegäran.docx", "A 41065-2020")</f>
        <v/>
      </c>
      <c r="Y128">
        <f>HYPERLINK("https://klasma.github.io/Logging_0980/tillsynsmail/A 41065-2020 tillsynsbegäran mail.docx", "A 41065-2020")</f>
        <v/>
      </c>
    </row>
    <row r="129" ht="15" customHeight="1">
      <c r="A129" t="inlineStr">
        <is>
          <t>A 45924-2020</t>
        </is>
      </c>
      <c r="B129" s="1" t="n">
        <v>44088</v>
      </c>
      <c r="C129" s="1" t="n">
        <v>45213</v>
      </c>
      <c r="D129" t="inlineStr">
        <is>
          <t>GOTLANDS LÄN</t>
        </is>
      </c>
      <c r="E129" t="inlineStr">
        <is>
          <t>GOTLAND</t>
        </is>
      </c>
      <c r="G129" t="n">
        <v>15</v>
      </c>
      <c r="H129" t="n">
        <v>0</v>
      </c>
      <c r="I129" t="n">
        <v>1</v>
      </c>
      <c r="J129" t="n">
        <v>0</v>
      </c>
      <c r="K129" t="n">
        <v>0</v>
      </c>
      <c r="L129" t="n">
        <v>0</v>
      </c>
      <c r="M129" t="n">
        <v>0</v>
      </c>
      <c r="N129" t="n">
        <v>0</v>
      </c>
      <c r="O129" t="n">
        <v>0</v>
      </c>
      <c r="P129" t="n">
        <v>0</v>
      </c>
      <c r="Q129" t="n">
        <v>1</v>
      </c>
      <c r="R129" s="2" t="inlineStr">
        <is>
          <t>Myskmadra</t>
        </is>
      </c>
      <c r="S129">
        <f>HYPERLINK("https://klasma.github.io/Logging_0980/artfynd/A 45924-2020 artfynd.xlsx", "A 45924-2020")</f>
        <v/>
      </c>
      <c r="T129">
        <f>HYPERLINK("https://klasma.github.io/Logging_0980/kartor/A 45924-2020 karta.png", "A 45924-2020")</f>
        <v/>
      </c>
      <c r="V129">
        <f>HYPERLINK("https://klasma.github.io/Logging_0980/klagomål/A 45924-2020 FSC-klagomål.docx", "A 45924-2020")</f>
        <v/>
      </c>
      <c r="W129">
        <f>HYPERLINK("https://klasma.github.io/Logging_0980/klagomålsmail/A 45924-2020 FSC-klagomål mail.docx", "A 45924-2020")</f>
        <v/>
      </c>
      <c r="X129">
        <f>HYPERLINK("https://klasma.github.io/Logging_0980/tillsyn/A 45924-2020 tillsynsbegäran.docx", "A 45924-2020")</f>
        <v/>
      </c>
      <c r="Y129">
        <f>HYPERLINK("https://klasma.github.io/Logging_0980/tillsynsmail/A 45924-2020 tillsynsbegäran mail.docx", "A 45924-2020")</f>
        <v/>
      </c>
    </row>
    <row r="130" ht="15" customHeight="1">
      <c r="A130" t="inlineStr">
        <is>
          <t>A 63299-2020</t>
        </is>
      </c>
      <c r="B130" s="1" t="n">
        <v>44165</v>
      </c>
      <c r="C130" s="1" t="n">
        <v>45213</v>
      </c>
      <c r="D130" t="inlineStr">
        <is>
          <t>GOTLANDS LÄN</t>
        </is>
      </c>
      <c r="E130" t="inlineStr">
        <is>
          <t>GOTLAND</t>
        </is>
      </c>
      <c r="G130" t="n">
        <v>12.9</v>
      </c>
      <c r="H130" t="n">
        <v>1</v>
      </c>
      <c r="I130" t="n">
        <v>0</v>
      </c>
      <c r="J130" t="n">
        <v>1</v>
      </c>
      <c r="K130" t="n">
        <v>0</v>
      </c>
      <c r="L130" t="n">
        <v>0</v>
      </c>
      <c r="M130" t="n">
        <v>0</v>
      </c>
      <c r="N130" t="n">
        <v>0</v>
      </c>
      <c r="O130" t="n">
        <v>1</v>
      </c>
      <c r="P130" t="n">
        <v>0</v>
      </c>
      <c r="Q130" t="n">
        <v>1</v>
      </c>
      <c r="R130" s="2" t="inlineStr">
        <is>
          <t>Svartfläckig blåvinge</t>
        </is>
      </c>
      <c r="S130">
        <f>HYPERLINK("https://klasma.github.io/Logging_0980/artfynd/A 63299-2020 artfynd.xlsx", "A 63299-2020")</f>
        <v/>
      </c>
      <c r="T130">
        <f>HYPERLINK("https://klasma.github.io/Logging_0980/kartor/A 63299-2020 karta.png", "A 63299-2020")</f>
        <v/>
      </c>
      <c r="V130">
        <f>HYPERLINK("https://klasma.github.io/Logging_0980/klagomål/A 63299-2020 FSC-klagomål.docx", "A 63299-2020")</f>
        <v/>
      </c>
      <c r="W130">
        <f>HYPERLINK("https://klasma.github.io/Logging_0980/klagomålsmail/A 63299-2020 FSC-klagomål mail.docx", "A 63299-2020")</f>
        <v/>
      </c>
      <c r="X130">
        <f>HYPERLINK("https://klasma.github.io/Logging_0980/tillsyn/A 63299-2020 tillsynsbegäran.docx", "A 63299-2020")</f>
        <v/>
      </c>
      <c r="Y130">
        <f>HYPERLINK("https://klasma.github.io/Logging_0980/tillsynsmail/A 63299-2020 tillsynsbegäran mail.docx", "A 63299-2020")</f>
        <v/>
      </c>
    </row>
    <row r="131" ht="15" customHeight="1">
      <c r="A131" t="inlineStr">
        <is>
          <t>A 24-2021</t>
        </is>
      </c>
      <c r="B131" s="1" t="n">
        <v>44197</v>
      </c>
      <c r="C131" s="1" t="n">
        <v>45213</v>
      </c>
      <c r="D131" t="inlineStr">
        <is>
          <t>GOTLANDS LÄN</t>
        </is>
      </c>
      <c r="E131" t="inlineStr">
        <is>
          <t>GOTLAND</t>
        </is>
      </c>
      <c r="F131" t="inlineStr">
        <is>
          <t>Kyrkan</t>
        </is>
      </c>
      <c r="G131" t="n">
        <v>1.7</v>
      </c>
      <c r="H131" t="n">
        <v>0</v>
      </c>
      <c r="I131" t="n">
        <v>1</v>
      </c>
      <c r="J131" t="n">
        <v>0</v>
      </c>
      <c r="K131" t="n">
        <v>0</v>
      </c>
      <c r="L131" t="n">
        <v>0</v>
      </c>
      <c r="M131" t="n">
        <v>0</v>
      </c>
      <c r="N131" t="n">
        <v>0</v>
      </c>
      <c r="O131" t="n">
        <v>0</v>
      </c>
      <c r="P131" t="n">
        <v>0</v>
      </c>
      <c r="Q131" t="n">
        <v>1</v>
      </c>
      <c r="R131" s="2" t="inlineStr">
        <is>
          <t>Svavelriska</t>
        </is>
      </c>
      <c r="S131">
        <f>HYPERLINK("https://klasma.github.io/Logging_0980/artfynd/A 24-2021 artfynd.xlsx", "A 24-2021")</f>
        <v/>
      </c>
      <c r="T131">
        <f>HYPERLINK("https://klasma.github.io/Logging_0980/kartor/A 24-2021 karta.png", "A 24-2021")</f>
        <v/>
      </c>
      <c r="V131">
        <f>HYPERLINK("https://klasma.github.io/Logging_0980/klagomål/A 24-2021 FSC-klagomål.docx", "A 24-2021")</f>
        <v/>
      </c>
      <c r="W131">
        <f>HYPERLINK("https://klasma.github.io/Logging_0980/klagomålsmail/A 24-2021 FSC-klagomål mail.docx", "A 24-2021")</f>
        <v/>
      </c>
      <c r="X131">
        <f>HYPERLINK("https://klasma.github.io/Logging_0980/tillsyn/A 24-2021 tillsynsbegäran.docx", "A 24-2021")</f>
        <v/>
      </c>
      <c r="Y131">
        <f>HYPERLINK("https://klasma.github.io/Logging_0980/tillsynsmail/A 24-2021 tillsynsbegäran mail.docx", "A 24-2021")</f>
        <v/>
      </c>
    </row>
    <row r="132" ht="15" customHeight="1">
      <c r="A132" t="inlineStr">
        <is>
          <t>A 7485-2021</t>
        </is>
      </c>
      <c r="B132" s="1" t="n">
        <v>44238</v>
      </c>
      <c r="C132" s="1" t="n">
        <v>45213</v>
      </c>
      <c r="D132" t="inlineStr">
        <is>
          <t>GOTLANDS LÄN</t>
        </is>
      </c>
      <c r="E132" t="inlineStr">
        <is>
          <t>GOTLAND</t>
        </is>
      </c>
      <c r="G132" t="n">
        <v>2.9</v>
      </c>
      <c r="H132" t="n">
        <v>1</v>
      </c>
      <c r="I132" t="n">
        <v>0</v>
      </c>
      <c r="J132" t="n">
        <v>1</v>
      </c>
      <c r="K132" t="n">
        <v>0</v>
      </c>
      <c r="L132" t="n">
        <v>0</v>
      </c>
      <c r="M132" t="n">
        <v>0</v>
      </c>
      <c r="N132" t="n">
        <v>0</v>
      </c>
      <c r="O132" t="n">
        <v>1</v>
      </c>
      <c r="P132" t="n">
        <v>0</v>
      </c>
      <c r="Q132" t="n">
        <v>1</v>
      </c>
      <c r="R132" s="2" t="inlineStr">
        <is>
          <t>Spillkråka</t>
        </is>
      </c>
      <c r="S132">
        <f>HYPERLINK("https://klasma.github.io/Logging_0980/artfynd/A 7485-2021 artfynd.xlsx", "A 7485-2021")</f>
        <v/>
      </c>
      <c r="T132">
        <f>HYPERLINK("https://klasma.github.io/Logging_0980/kartor/A 7485-2021 karta.png", "A 7485-2021")</f>
        <v/>
      </c>
      <c r="V132">
        <f>HYPERLINK("https://klasma.github.io/Logging_0980/klagomål/A 7485-2021 FSC-klagomål.docx", "A 7485-2021")</f>
        <v/>
      </c>
      <c r="W132">
        <f>HYPERLINK("https://klasma.github.io/Logging_0980/klagomålsmail/A 7485-2021 FSC-klagomål mail.docx", "A 7485-2021")</f>
        <v/>
      </c>
      <c r="X132">
        <f>HYPERLINK("https://klasma.github.io/Logging_0980/tillsyn/A 7485-2021 tillsynsbegäran.docx", "A 7485-2021")</f>
        <v/>
      </c>
      <c r="Y132">
        <f>HYPERLINK("https://klasma.github.io/Logging_0980/tillsynsmail/A 7485-2021 tillsynsbegäran mail.docx", "A 7485-2021")</f>
        <v/>
      </c>
    </row>
    <row r="133" ht="15" customHeight="1">
      <c r="A133" t="inlineStr">
        <is>
          <t>A 13939-2021</t>
        </is>
      </c>
      <c r="B133" s="1" t="n">
        <v>44277</v>
      </c>
      <c r="C133" s="1" t="n">
        <v>45213</v>
      </c>
      <c r="D133" t="inlineStr">
        <is>
          <t>GOTLANDS LÄN</t>
        </is>
      </c>
      <c r="E133" t="inlineStr">
        <is>
          <t>GOTLAND</t>
        </is>
      </c>
      <c r="G133" t="n">
        <v>1</v>
      </c>
      <c r="H133" t="n">
        <v>0</v>
      </c>
      <c r="I133" t="n">
        <v>0</v>
      </c>
      <c r="J133" t="n">
        <v>1</v>
      </c>
      <c r="K133" t="n">
        <v>0</v>
      </c>
      <c r="L133" t="n">
        <v>0</v>
      </c>
      <c r="M133" t="n">
        <v>0</v>
      </c>
      <c r="N133" t="n">
        <v>0</v>
      </c>
      <c r="O133" t="n">
        <v>1</v>
      </c>
      <c r="P133" t="n">
        <v>0</v>
      </c>
      <c r="Q133" t="n">
        <v>1</v>
      </c>
      <c r="R133" s="2" t="inlineStr">
        <is>
          <t>Axveronika</t>
        </is>
      </c>
      <c r="S133">
        <f>HYPERLINK("https://klasma.github.io/Logging_0980/artfynd/A 13939-2021 artfynd.xlsx", "A 13939-2021")</f>
        <v/>
      </c>
      <c r="T133">
        <f>HYPERLINK("https://klasma.github.io/Logging_0980/kartor/A 13939-2021 karta.png", "A 13939-2021")</f>
        <v/>
      </c>
      <c r="V133">
        <f>HYPERLINK("https://klasma.github.io/Logging_0980/klagomål/A 13939-2021 FSC-klagomål.docx", "A 13939-2021")</f>
        <v/>
      </c>
      <c r="W133">
        <f>HYPERLINK("https://klasma.github.io/Logging_0980/klagomålsmail/A 13939-2021 FSC-klagomål mail.docx", "A 13939-2021")</f>
        <v/>
      </c>
      <c r="X133">
        <f>HYPERLINK("https://klasma.github.io/Logging_0980/tillsyn/A 13939-2021 tillsynsbegäran.docx", "A 13939-2021")</f>
        <v/>
      </c>
      <c r="Y133">
        <f>HYPERLINK("https://klasma.github.io/Logging_0980/tillsynsmail/A 13939-2021 tillsynsbegäran mail.docx", "A 13939-2021")</f>
        <v/>
      </c>
    </row>
    <row r="134" ht="15" customHeight="1">
      <c r="A134" t="inlineStr">
        <is>
          <t>A 17723-2021</t>
        </is>
      </c>
      <c r="B134" s="1" t="n">
        <v>44300</v>
      </c>
      <c r="C134" s="1" t="n">
        <v>45213</v>
      </c>
      <c r="D134" t="inlineStr">
        <is>
          <t>GOTLANDS LÄN</t>
        </is>
      </c>
      <c r="E134" t="inlineStr">
        <is>
          <t>GOTLAND</t>
        </is>
      </c>
      <c r="G134" t="n">
        <v>1.5</v>
      </c>
      <c r="H134" t="n">
        <v>1</v>
      </c>
      <c r="I134" t="n">
        <v>1</v>
      </c>
      <c r="J134" t="n">
        <v>0</v>
      </c>
      <c r="K134" t="n">
        <v>0</v>
      </c>
      <c r="L134" t="n">
        <v>0</v>
      </c>
      <c r="M134" t="n">
        <v>0</v>
      </c>
      <c r="N134" t="n">
        <v>0</v>
      </c>
      <c r="O134" t="n">
        <v>0</v>
      </c>
      <c r="P134" t="n">
        <v>0</v>
      </c>
      <c r="Q134" t="n">
        <v>1</v>
      </c>
      <c r="R134" s="2" t="inlineStr">
        <is>
          <t>Vit skogslilja</t>
        </is>
      </c>
      <c r="S134">
        <f>HYPERLINK("https://klasma.github.io/Logging_0980/artfynd/A 17723-2021 artfynd.xlsx", "A 17723-2021")</f>
        <v/>
      </c>
      <c r="T134">
        <f>HYPERLINK("https://klasma.github.io/Logging_0980/kartor/A 17723-2021 karta.png", "A 17723-2021")</f>
        <v/>
      </c>
      <c r="V134">
        <f>HYPERLINK("https://klasma.github.io/Logging_0980/klagomål/A 17723-2021 FSC-klagomål.docx", "A 17723-2021")</f>
        <v/>
      </c>
      <c r="W134">
        <f>HYPERLINK("https://klasma.github.io/Logging_0980/klagomålsmail/A 17723-2021 FSC-klagomål mail.docx", "A 17723-2021")</f>
        <v/>
      </c>
      <c r="X134">
        <f>HYPERLINK("https://klasma.github.io/Logging_0980/tillsyn/A 17723-2021 tillsynsbegäran.docx", "A 17723-2021")</f>
        <v/>
      </c>
      <c r="Y134">
        <f>HYPERLINK("https://klasma.github.io/Logging_0980/tillsynsmail/A 17723-2021 tillsynsbegäran mail.docx", "A 17723-2021")</f>
        <v/>
      </c>
    </row>
    <row r="135" ht="15" customHeight="1">
      <c r="A135" t="inlineStr">
        <is>
          <t>A 29951-2021</t>
        </is>
      </c>
      <c r="B135" s="1" t="n">
        <v>44362</v>
      </c>
      <c r="C135" s="1" t="n">
        <v>45213</v>
      </c>
      <c r="D135" t="inlineStr">
        <is>
          <t>GOTLANDS LÄN</t>
        </is>
      </c>
      <c r="E135" t="inlineStr">
        <is>
          <t>GOTLAND</t>
        </is>
      </c>
      <c r="G135" t="n">
        <v>3.4</v>
      </c>
      <c r="H135" t="n">
        <v>1</v>
      </c>
      <c r="I135" t="n">
        <v>0</v>
      </c>
      <c r="J135" t="n">
        <v>1</v>
      </c>
      <c r="K135" t="n">
        <v>0</v>
      </c>
      <c r="L135" t="n">
        <v>0</v>
      </c>
      <c r="M135" t="n">
        <v>0</v>
      </c>
      <c r="N135" t="n">
        <v>0</v>
      </c>
      <c r="O135" t="n">
        <v>1</v>
      </c>
      <c r="P135" t="n">
        <v>0</v>
      </c>
      <c r="Q135" t="n">
        <v>1</v>
      </c>
      <c r="R135" s="2" t="inlineStr">
        <is>
          <t>Dårgräsfjäril</t>
        </is>
      </c>
      <c r="S135">
        <f>HYPERLINK("https://klasma.github.io/Logging_0980/artfynd/A 29951-2021 artfynd.xlsx", "A 29951-2021")</f>
        <v/>
      </c>
      <c r="T135">
        <f>HYPERLINK("https://klasma.github.io/Logging_0980/kartor/A 29951-2021 karta.png", "A 29951-2021")</f>
        <v/>
      </c>
      <c r="V135">
        <f>HYPERLINK("https://klasma.github.io/Logging_0980/klagomål/A 29951-2021 FSC-klagomål.docx", "A 29951-2021")</f>
        <v/>
      </c>
      <c r="W135">
        <f>HYPERLINK("https://klasma.github.io/Logging_0980/klagomålsmail/A 29951-2021 FSC-klagomål mail.docx", "A 29951-2021")</f>
        <v/>
      </c>
      <c r="X135">
        <f>HYPERLINK("https://klasma.github.io/Logging_0980/tillsyn/A 29951-2021 tillsynsbegäran.docx", "A 29951-2021")</f>
        <v/>
      </c>
      <c r="Y135">
        <f>HYPERLINK("https://klasma.github.io/Logging_0980/tillsynsmail/A 29951-2021 tillsynsbegäran mail.docx", "A 29951-2021")</f>
        <v/>
      </c>
    </row>
    <row r="136" ht="15" customHeight="1">
      <c r="A136" t="inlineStr">
        <is>
          <t>A 35467-2021</t>
        </is>
      </c>
      <c r="B136" s="1" t="n">
        <v>44385</v>
      </c>
      <c r="C136" s="1" t="n">
        <v>45213</v>
      </c>
      <c r="D136" t="inlineStr">
        <is>
          <t>GOTLANDS LÄN</t>
        </is>
      </c>
      <c r="E136" t="inlineStr">
        <is>
          <t>GOTLAND</t>
        </is>
      </c>
      <c r="G136" t="n">
        <v>12.7</v>
      </c>
      <c r="H136" t="n">
        <v>0</v>
      </c>
      <c r="I136" t="n">
        <v>0</v>
      </c>
      <c r="J136" t="n">
        <v>1</v>
      </c>
      <c r="K136" t="n">
        <v>0</v>
      </c>
      <c r="L136" t="n">
        <v>0</v>
      </c>
      <c r="M136" t="n">
        <v>0</v>
      </c>
      <c r="N136" t="n">
        <v>0</v>
      </c>
      <c r="O136" t="n">
        <v>1</v>
      </c>
      <c r="P136" t="n">
        <v>0</v>
      </c>
      <c r="Q136" t="n">
        <v>1</v>
      </c>
      <c r="R136" s="2" t="inlineStr">
        <is>
          <t>Loppstarr</t>
        </is>
      </c>
      <c r="S136">
        <f>HYPERLINK("https://klasma.github.io/Logging_0980/artfynd/A 35467-2021 artfynd.xlsx", "A 35467-2021")</f>
        <v/>
      </c>
      <c r="T136">
        <f>HYPERLINK("https://klasma.github.io/Logging_0980/kartor/A 35467-2021 karta.png", "A 35467-2021")</f>
        <v/>
      </c>
      <c r="V136">
        <f>HYPERLINK("https://klasma.github.io/Logging_0980/klagomål/A 35467-2021 FSC-klagomål.docx", "A 35467-2021")</f>
        <v/>
      </c>
      <c r="W136">
        <f>HYPERLINK("https://klasma.github.io/Logging_0980/klagomålsmail/A 35467-2021 FSC-klagomål mail.docx", "A 35467-2021")</f>
        <v/>
      </c>
      <c r="X136">
        <f>HYPERLINK("https://klasma.github.io/Logging_0980/tillsyn/A 35467-2021 tillsynsbegäran.docx", "A 35467-2021")</f>
        <v/>
      </c>
      <c r="Y136">
        <f>HYPERLINK("https://klasma.github.io/Logging_0980/tillsynsmail/A 35467-2021 tillsynsbegäran mail.docx", "A 35467-2021")</f>
        <v/>
      </c>
    </row>
    <row r="137" ht="15" customHeight="1">
      <c r="A137" t="inlineStr">
        <is>
          <t>A 44308-2021</t>
        </is>
      </c>
      <c r="B137" s="1" t="n">
        <v>44434</v>
      </c>
      <c r="C137" s="1" t="n">
        <v>45213</v>
      </c>
      <c r="D137" t="inlineStr">
        <is>
          <t>GOTLANDS LÄN</t>
        </is>
      </c>
      <c r="E137" t="inlineStr">
        <is>
          <t>GOTLAND</t>
        </is>
      </c>
      <c r="G137" t="n">
        <v>5.9</v>
      </c>
      <c r="H137" t="n">
        <v>0</v>
      </c>
      <c r="I137" t="n">
        <v>1</v>
      </c>
      <c r="J137" t="n">
        <v>0</v>
      </c>
      <c r="K137" t="n">
        <v>0</v>
      </c>
      <c r="L137" t="n">
        <v>0</v>
      </c>
      <c r="M137" t="n">
        <v>0</v>
      </c>
      <c r="N137" t="n">
        <v>0</v>
      </c>
      <c r="O137" t="n">
        <v>0</v>
      </c>
      <c r="P137" t="n">
        <v>0</v>
      </c>
      <c r="Q137" t="n">
        <v>1</v>
      </c>
      <c r="R137" s="2" t="inlineStr">
        <is>
          <t>Svavelriska</t>
        </is>
      </c>
      <c r="S137">
        <f>HYPERLINK("https://klasma.github.io/Logging_0980/artfynd/A 44308-2021 artfynd.xlsx", "A 44308-2021")</f>
        <v/>
      </c>
      <c r="T137">
        <f>HYPERLINK("https://klasma.github.io/Logging_0980/kartor/A 44308-2021 karta.png", "A 44308-2021")</f>
        <v/>
      </c>
      <c r="V137">
        <f>HYPERLINK("https://klasma.github.io/Logging_0980/klagomål/A 44308-2021 FSC-klagomål.docx", "A 44308-2021")</f>
        <v/>
      </c>
      <c r="W137">
        <f>HYPERLINK("https://klasma.github.io/Logging_0980/klagomålsmail/A 44308-2021 FSC-klagomål mail.docx", "A 44308-2021")</f>
        <v/>
      </c>
      <c r="X137">
        <f>HYPERLINK("https://klasma.github.io/Logging_0980/tillsyn/A 44308-2021 tillsynsbegäran.docx", "A 44308-2021")</f>
        <v/>
      </c>
      <c r="Y137">
        <f>HYPERLINK("https://klasma.github.io/Logging_0980/tillsynsmail/A 44308-2021 tillsynsbegäran mail.docx", "A 44308-2021")</f>
        <v/>
      </c>
    </row>
    <row r="138" ht="15" customHeight="1">
      <c r="A138" t="inlineStr">
        <is>
          <t>A 47411-2021</t>
        </is>
      </c>
      <c r="B138" s="1" t="n">
        <v>44447</v>
      </c>
      <c r="C138" s="1" t="n">
        <v>45213</v>
      </c>
      <c r="D138" t="inlineStr">
        <is>
          <t>GOTLANDS LÄN</t>
        </is>
      </c>
      <c r="E138" t="inlineStr">
        <is>
          <t>GOTLAND</t>
        </is>
      </c>
      <c r="G138" t="n">
        <v>2.7</v>
      </c>
      <c r="H138" t="n">
        <v>1</v>
      </c>
      <c r="I138" t="n">
        <v>0</v>
      </c>
      <c r="J138" t="n">
        <v>0</v>
      </c>
      <c r="K138" t="n">
        <v>0</v>
      </c>
      <c r="L138" t="n">
        <v>0</v>
      </c>
      <c r="M138" t="n">
        <v>0</v>
      </c>
      <c r="N138" t="n">
        <v>0</v>
      </c>
      <c r="O138" t="n">
        <v>0</v>
      </c>
      <c r="P138" t="n">
        <v>0</v>
      </c>
      <c r="Q138" t="n">
        <v>1</v>
      </c>
      <c r="R138" s="2" t="inlineStr">
        <is>
          <t>Revlummer</t>
        </is>
      </c>
      <c r="S138">
        <f>HYPERLINK("https://klasma.github.io/Logging_0980/artfynd/A 47411-2021 artfynd.xlsx", "A 47411-2021")</f>
        <v/>
      </c>
      <c r="T138">
        <f>HYPERLINK("https://klasma.github.io/Logging_0980/kartor/A 47411-2021 karta.png", "A 47411-2021")</f>
        <v/>
      </c>
      <c r="V138">
        <f>HYPERLINK("https://klasma.github.io/Logging_0980/klagomål/A 47411-2021 FSC-klagomål.docx", "A 47411-2021")</f>
        <v/>
      </c>
      <c r="W138">
        <f>HYPERLINK("https://klasma.github.io/Logging_0980/klagomålsmail/A 47411-2021 FSC-klagomål mail.docx", "A 47411-2021")</f>
        <v/>
      </c>
      <c r="X138">
        <f>HYPERLINK("https://klasma.github.io/Logging_0980/tillsyn/A 47411-2021 tillsynsbegäran.docx", "A 47411-2021")</f>
        <v/>
      </c>
      <c r="Y138">
        <f>HYPERLINK("https://klasma.github.io/Logging_0980/tillsynsmail/A 47411-2021 tillsynsbegäran mail.docx", "A 47411-2021")</f>
        <v/>
      </c>
    </row>
    <row r="139" ht="15" customHeight="1">
      <c r="A139" t="inlineStr">
        <is>
          <t>A 63576-2021</t>
        </is>
      </c>
      <c r="B139" s="1" t="n">
        <v>44508</v>
      </c>
      <c r="C139" s="1" t="n">
        <v>45213</v>
      </c>
      <c r="D139" t="inlineStr">
        <is>
          <t>GOTLANDS LÄN</t>
        </is>
      </c>
      <c r="E139" t="inlineStr">
        <is>
          <t>GOTLAND</t>
        </is>
      </c>
      <c r="F139" t="inlineStr">
        <is>
          <t>Kyrkan</t>
        </is>
      </c>
      <c r="G139" t="n">
        <v>4.1</v>
      </c>
      <c r="H139" t="n">
        <v>1</v>
      </c>
      <c r="I139" t="n">
        <v>0</v>
      </c>
      <c r="J139" t="n">
        <v>1</v>
      </c>
      <c r="K139" t="n">
        <v>0</v>
      </c>
      <c r="L139" t="n">
        <v>0</v>
      </c>
      <c r="M139" t="n">
        <v>0</v>
      </c>
      <c r="N139" t="n">
        <v>0</v>
      </c>
      <c r="O139" t="n">
        <v>1</v>
      </c>
      <c r="P139" t="n">
        <v>0</v>
      </c>
      <c r="Q139" t="n">
        <v>1</v>
      </c>
      <c r="R139" s="2" t="inlineStr">
        <is>
          <t>Dårgräsfjäril</t>
        </is>
      </c>
      <c r="S139">
        <f>HYPERLINK("https://klasma.github.io/Logging_0980/artfynd/A 63576-2021 artfynd.xlsx", "A 63576-2021")</f>
        <v/>
      </c>
      <c r="T139">
        <f>HYPERLINK("https://klasma.github.io/Logging_0980/kartor/A 63576-2021 karta.png", "A 63576-2021")</f>
        <v/>
      </c>
      <c r="V139">
        <f>HYPERLINK("https://klasma.github.io/Logging_0980/klagomål/A 63576-2021 FSC-klagomål.docx", "A 63576-2021")</f>
        <v/>
      </c>
      <c r="W139">
        <f>HYPERLINK("https://klasma.github.io/Logging_0980/klagomålsmail/A 63576-2021 FSC-klagomål mail.docx", "A 63576-2021")</f>
        <v/>
      </c>
      <c r="X139">
        <f>HYPERLINK("https://klasma.github.io/Logging_0980/tillsyn/A 63576-2021 tillsynsbegäran.docx", "A 63576-2021")</f>
        <v/>
      </c>
      <c r="Y139">
        <f>HYPERLINK("https://klasma.github.io/Logging_0980/tillsynsmail/A 63576-2021 tillsynsbegäran mail.docx", "A 63576-2021")</f>
        <v/>
      </c>
    </row>
    <row r="140" ht="15" customHeight="1">
      <c r="A140" t="inlineStr">
        <is>
          <t>A 64700-2021</t>
        </is>
      </c>
      <c r="B140" s="1" t="n">
        <v>44511</v>
      </c>
      <c r="C140" s="1" t="n">
        <v>45213</v>
      </c>
      <c r="D140" t="inlineStr">
        <is>
          <t>GOTLANDS LÄN</t>
        </is>
      </c>
      <c r="E140" t="inlineStr">
        <is>
          <t>GOTLAND</t>
        </is>
      </c>
      <c r="F140" t="inlineStr">
        <is>
          <t>Naturvårdsverket</t>
        </is>
      </c>
      <c r="G140" t="n">
        <v>2.4</v>
      </c>
      <c r="H140" t="n">
        <v>1</v>
      </c>
      <c r="I140" t="n">
        <v>0</v>
      </c>
      <c r="J140" t="n">
        <v>0</v>
      </c>
      <c r="K140" t="n">
        <v>1</v>
      </c>
      <c r="L140" t="n">
        <v>0</v>
      </c>
      <c r="M140" t="n">
        <v>0</v>
      </c>
      <c r="N140" t="n">
        <v>0</v>
      </c>
      <c r="O140" t="n">
        <v>1</v>
      </c>
      <c r="P140" t="n">
        <v>1</v>
      </c>
      <c r="Q140" t="n">
        <v>1</v>
      </c>
      <c r="R140" s="2" t="inlineStr">
        <is>
          <t>Kalkdån</t>
        </is>
      </c>
      <c r="S140">
        <f>HYPERLINK("https://klasma.github.io/Logging_0980/artfynd/A 64700-2021 artfynd.xlsx", "A 64700-2021")</f>
        <v/>
      </c>
      <c r="T140">
        <f>HYPERLINK("https://klasma.github.io/Logging_0980/kartor/A 64700-2021 karta.png", "A 64700-2021")</f>
        <v/>
      </c>
      <c r="V140">
        <f>HYPERLINK("https://klasma.github.io/Logging_0980/klagomål/A 64700-2021 FSC-klagomål.docx", "A 64700-2021")</f>
        <v/>
      </c>
      <c r="W140">
        <f>HYPERLINK("https://klasma.github.io/Logging_0980/klagomålsmail/A 64700-2021 FSC-klagomål mail.docx", "A 64700-2021")</f>
        <v/>
      </c>
      <c r="X140">
        <f>HYPERLINK("https://klasma.github.io/Logging_0980/tillsyn/A 64700-2021 tillsynsbegäran.docx", "A 64700-2021")</f>
        <v/>
      </c>
      <c r="Y140">
        <f>HYPERLINK("https://klasma.github.io/Logging_0980/tillsynsmail/A 64700-2021 tillsynsbegäran mail.docx", "A 64700-2021")</f>
        <v/>
      </c>
    </row>
    <row r="141" ht="15" customHeight="1">
      <c r="A141" t="inlineStr">
        <is>
          <t>A 65927-2021</t>
        </is>
      </c>
      <c r="B141" s="1" t="n">
        <v>44516</v>
      </c>
      <c r="C141" s="1" t="n">
        <v>45213</v>
      </c>
      <c r="D141" t="inlineStr">
        <is>
          <t>GOTLANDS LÄN</t>
        </is>
      </c>
      <c r="E141" t="inlineStr">
        <is>
          <t>GOTLAND</t>
        </is>
      </c>
      <c r="G141" t="n">
        <v>3.1</v>
      </c>
      <c r="H141" t="n">
        <v>1</v>
      </c>
      <c r="I141" t="n">
        <v>0</v>
      </c>
      <c r="J141" t="n">
        <v>0</v>
      </c>
      <c r="K141" t="n">
        <v>1</v>
      </c>
      <c r="L141" t="n">
        <v>0</v>
      </c>
      <c r="M141" t="n">
        <v>0</v>
      </c>
      <c r="N141" t="n">
        <v>0</v>
      </c>
      <c r="O141" t="n">
        <v>1</v>
      </c>
      <c r="P141" t="n">
        <v>1</v>
      </c>
      <c r="Q141" t="n">
        <v>1</v>
      </c>
      <c r="R141" s="2" t="inlineStr">
        <is>
          <t>Grenigt kungsljus</t>
        </is>
      </c>
      <c r="S141">
        <f>HYPERLINK("https://klasma.github.io/Logging_0980/artfynd/A 65927-2021 artfynd.xlsx", "A 65927-2021")</f>
        <v/>
      </c>
      <c r="T141">
        <f>HYPERLINK("https://klasma.github.io/Logging_0980/kartor/A 65927-2021 karta.png", "A 65927-2021")</f>
        <v/>
      </c>
      <c r="V141">
        <f>HYPERLINK("https://klasma.github.io/Logging_0980/klagomål/A 65927-2021 FSC-klagomål.docx", "A 65927-2021")</f>
        <v/>
      </c>
      <c r="W141">
        <f>HYPERLINK("https://klasma.github.io/Logging_0980/klagomålsmail/A 65927-2021 FSC-klagomål mail.docx", "A 65927-2021")</f>
        <v/>
      </c>
      <c r="X141">
        <f>HYPERLINK("https://klasma.github.io/Logging_0980/tillsyn/A 65927-2021 tillsynsbegäran.docx", "A 65927-2021")</f>
        <v/>
      </c>
      <c r="Y141">
        <f>HYPERLINK("https://klasma.github.io/Logging_0980/tillsynsmail/A 65927-2021 tillsynsbegäran mail.docx", "A 65927-2021")</f>
        <v/>
      </c>
    </row>
    <row r="142" ht="15" customHeight="1">
      <c r="A142" t="inlineStr">
        <is>
          <t>A 24245-2022</t>
        </is>
      </c>
      <c r="B142" s="1" t="n">
        <v>44725</v>
      </c>
      <c r="C142" s="1" t="n">
        <v>45213</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25783-2022</t>
        </is>
      </c>
      <c r="B143" s="1" t="n">
        <v>44733</v>
      </c>
      <c r="C143" s="1" t="n">
        <v>45213</v>
      </c>
      <c r="D143" t="inlineStr">
        <is>
          <t>GOTLANDS LÄN</t>
        </is>
      </c>
      <c r="E143" t="inlineStr">
        <is>
          <t>GOTLAND</t>
        </is>
      </c>
      <c r="G143" t="n">
        <v>1</v>
      </c>
      <c r="H143" t="n">
        <v>1</v>
      </c>
      <c r="I143" t="n">
        <v>1</v>
      </c>
      <c r="J143" t="n">
        <v>0</v>
      </c>
      <c r="K143" t="n">
        <v>0</v>
      </c>
      <c r="L143" t="n">
        <v>0</v>
      </c>
      <c r="M143" t="n">
        <v>0</v>
      </c>
      <c r="N143" t="n">
        <v>0</v>
      </c>
      <c r="O143" t="n">
        <v>0</v>
      </c>
      <c r="P143" t="n">
        <v>0</v>
      </c>
      <c r="Q143" t="n">
        <v>1</v>
      </c>
      <c r="R143" s="2" t="inlineStr">
        <is>
          <t>Vit skogslilja</t>
        </is>
      </c>
      <c r="S143">
        <f>HYPERLINK("https://klasma.github.io/Logging_0980/artfynd/A 25783-2022 artfynd.xlsx", "A 25783-2022")</f>
        <v/>
      </c>
      <c r="T143">
        <f>HYPERLINK("https://klasma.github.io/Logging_0980/kartor/A 25783-2022 karta.png", "A 25783-2022")</f>
        <v/>
      </c>
      <c r="V143">
        <f>HYPERLINK("https://klasma.github.io/Logging_0980/klagomål/A 25783-2022 FSC-klagomål.docx", "A 25783-2022")</f>
        <v/>
      </c>
      <c r="W143">
        <f>HYPERLINK("https://klasma.github.io/Logging_0980/klagomålsmail/A 25783-2022 FSC-klagomål mail.docx", "A 25783-2022")</f>
        <v/>
      </c>
      <c r="X143">
        <f>HYPERLINK("https://klasma.github.io/Logging_0980/tillsyn/A 25783-2022 tillsynsbegäran.docx", "A 25783-2022")</f>
        <v/>
      </c>
      <c r="Y143">
        <f>HYPERLINK("https://klasma.github.io/Logging_0980/tillsynsmail/A 25783-2022 tillsynsbegäran mail.docx", "A 25783-2022")</f>
        <v/>
      </c>
    </row>
    <row r="144" ht="15" customHeight="1">
      <c r="A144" t="inlineStr">
        <is>
          <t>A 27814-2022</t>
        </is>
      </c>
      <c r="B144" s="1" t="n">
        <v>44743</v>
      </c>
      <c r="C144" s="1" t="n">
        <v>45213</v>
      </c>
      <c r="D144" t="inlineStr">
        <is>
          <t>GOTLANDS LÄN</t>
        </is>
      </c>
      <c r="E144" t="inlineStr">
        <is>
          <t>GOTLAND</t>
        </is>
      </c>
      <c r="G144" t="n">
        <v>25</v>
      </c>
      <c r="H144" t="n">
        <v>1</v>
      </c>
      <c r="I144" t="n">
        <v>0</v>
      </c>
      <c r="J144" t="n">
        <v>0</v>
      </c>
      <c r="K144" t="n">
        <v>0</v>
      </c>
      <c r="L144" t="n">
        <v>0</v>
      </c>
      <c r="M144" t="n">
        <v>0</v>
      </c>
      <c r="N144" t="n">
        <v>0</v>
      </c>
      <c r="O144" t="n">
        <v>0</v>
      </c>
      <c r="P144" t="n">
        <v>0</v>
      </c>
      <c r="Q144" t="n">
        <v>1</v>
      </c>
      <c r="R144" s="2" t="inlineStr">
        <is>
          <t>Mindre vattensalamander</t>
        </is>
      </c>
      <c r="S144">
        <f>HYPERLINK("https://klasma.github.io/Logging_0980/artfynd/A 27814-2022 artfynd.xlsx", "A 27814-2022")</f>
        <v/>
      </c>
      <c r="T144">
        <f>HYPERLINK("https://klasma.github.io/Logging_0980/kartor/A 27814-2022 karta.png", "A 27814-2022")</f>
        <v/>
      </c>
      <c r="V144">
        <f>HYPERLINK("https://klasma.github.io/Logging_0980/klagomål/A 27814-2022 FSC-klagomål.docx", "A 27814-2022")</f>
        <v/>
      </c>
      <c r="W144">
        <f>HYPERLINK("https://klasma.github.io/Logging_0980/klagomålsmail/A 27814-2022 FSC-klagomål mail.docx", "A 27814-2022")</f>
        <v/>
      </c>
      <c r="X144">
        <f>HYPERLINK("https://klasma.github.io/Logging_0980/tillsyn/A 27814-2022 tillsynsbegäran.docx", "A 27814-2022")</f>
        <v/>
      </c>
      <c r="Y144">
        <f>HYPERLINK("https://klasma.github.io/Logging_0980/tillsynsmail/A 27814-2022 tillsynsbegäran mail.docx", "A 27814-2022")</f>
        <v/>
      </c>
    </row>
    <row r="145" ht="15" customHeight="1">
      <c r="A145" t="inlineStr">
        <is>
          <t>A 44088-2022</t>
        </is>
      </c>
      <c r="B145" s="1" t="n">
        <v>44839</v>
      </c>
      <c r="C145" s="1" t="n">
        <v>45213</v>
      </c>
      <c r="D145" t="inlineStr">
        <is>
          <t>GOTLANDS LÄN</t>
        </is>
      </c>
      <c r="E145" t="inlineStr">
        <is>
          <t>GOTLAND</t>
        </is>
      </c>
      <c r="G145" t="n">
        <v>1.5</v>
      </c>
      <c r="H145" t="n">
        <v>0</v>
      </c>
      <c r="I145" t="n">
        <v>1</v>
      </c>
      <c r="J145" t="n">
        <v>0</v>
      </c>
      <c r="K145" t="n">
        <v>0</v>
      </c>
      <c r="L145" t="n">
        <v>0</v>
      </c>
      <c r="M145" t="n">
        <v>0</v>
      </c>
      <c r="N145" t="n">
        <v>0</v>
      </c>
      <c r="O145" t="n">
        <v>0</v>
      </c>
      <c r="P145" t="n">
        <v>0</v>
      </c>
      <c r="Q145" t="n">
        <v>1</v>
      </c>
      <c r="R145" s="2" t="inlineStr">
        <is>
          <t>Strävlosta</t>
        </is>
      </c>
      <c r="S145">
        <f>HYPERLINK("https://klasma.github.io/Logging_0980/artfynd/A 44088-2022 artfynd.xlsx", "A 44088-2022")</f>
        <v/>
      </c>
      <c r="T145">
        <f>HYPERLINK("https://klasma.github.io/Logging_0980/kartor/A 44088-2022 karta.png", "A 44088-2022")</f>
        <v/>
      </c>
      <c r="V145">
        <f>HYPERLINK("https://klasma.github.io/Logging_0980/klagomål/A 44088-2022 FSC-klagomål.docx", "A 44088-2022")</f>
        <v/>
      </c>
      <c r="W145">
        <f>HYPERLINK("https://klasma.github.io/Logging_0980/klagomålsmail/A 44088-2022 FSC-klagomål mail.docx", "A 44088-2022")</f>
        <v/>
      </c>
      <c r="X145">
        <f>HYPERLINK("https://klasma.github.io/Logging_0980/tillsyn/A 44088-2022 tillsynsbegäran.docx", "A 44088-2022")</f>
        <v/>
      </c>
      <c r="Y145">
        <f>HYPERLINK("https://klasma.github.io/Logging_0980/tillsynsmail/A 44088-2022 tillsynsbegäran mail.docx", "A 44088-2022")</f>
        <v/>
      </c>
    </row>
    <row r="146" ht="15" customHeight="1">
      <c r="A146" t="inlineStr">
        <is>
          <t>A 44095-2022</t>
        </is>
      </c>
      <c r="B146" s="1" t="n">
        <v>44839</v>
      </c>
      <c r="C146" s="1" t="n">
        <v>45213</v>
      </c>
      <c r="D146" t="inlineStr">
        <is>
          <t>GOTLANDS LÄN</t>
        </is>
      </c>
      <c r="E146" t="inlineStr">
        <is>
          <t>GOTLAND</t>
        </is>
      </c>
      <c r="G146" t="n">
        <v>9</v>
      </c>
      <c r="H146" t="n">
        <v>0</v>
      </c>
      <c r="I146" t="n">
        <v>1</v>
      </c>
      <c r="J146" t="n">
        <v>0</v>
      </c>
      <c r="K146" t="n">
        <v>0</v>
      </c>
      <c r="L146" t="n">
        <v>0</v>
      </c>
      <c r="M146" t="n">
        <v>0</v>
      </c>
      <c r="N146" t="n">
        <v>0</v>
      </c>
      <c r="O146" t="n">
        <v>0</v>
      </c>
      <c r="P146" t="n">
        <v>0</v>
      </c>
      <c r="Q146" t="n">
        <v>1</v>
      </c>
      <c r="R146" s="2" t="inlineStr">
        <is>
          <t>Strävlosta</t>
        </is>
      </c>
      <c r="S146">
        <f>HYPERLINK("https://klasma.github.io/Logging_0980/artfynd/A 44095-2022 artfynd.xlsx", "A 44095-2022")</f>
        <v/>
      </c>
      <c r="T146">
        <f>HYPERLINK("https://klasma.github.io/Logging_0980/kartor/A 44095-2022 karta.png", "A 44095-2022")</f>
        <v/>
      </c>
      <c r="V146">
        <f>HYPERLINK("https://klasma.github.io/Logging_0980/klagomål/A 44095-2022 FSC-klagomål.docx", "A 44095-2022")</f>
        <v/>
      </c>
      <c r="W146">
        <f>HYPERLINK("https://klasma.github.io/Logging_0980/klagomålsmail/A 44095-2022 FSC-klagomål mail.docx", "A 44095-2022")</f>
        <v/>
      </c>
      <c r="X146">
        <f>HYPERLINK("https://klasma.github.io/Logging_0980/tillsyn/A 44095-2022 tillsynsbegäran.docx", "A 44095-2022")</f>
        <v/>
      </c>
      <c r="Y146">
        <f>HYPERLINK("https://klasma.github.io/Logging_0980/tillsynsmail/A 44095-2022 tillsynsbegäran mail.docx", "A 44095-2022")</f>
        <v/>
      </c>
    </row>
    <row r="147" ht="15" customHeight="1">
      <c r="A147" t="inlineStr">
        <is>
          <t>A 49811-2022</t>
        </is>
      </c>
      <c r="B147" s="1" t="n">
        <v>44862</v>
      </c>
      <c r="C147" s="1" t="n">
        <v>45213</v>
      </c>
      <c r="D147" t="inlineStr">
        <is>
          <t>GOTLANDS LÄN</t>
        </is>
      </c>
      <c r="E147" t="inlineStr">
        <is>
          <t>GOTLAND</t>
        </is>
      </c>
      <c r="F147" t="inlineStr">
        <is>
          <t>Kyrkan</t>
        </is>
      </c>
      <c r="G147" t="n">
        <v>5.3</v>
      </c>
      <c r="H147" t="n">
        <v>0</v>
      </c>
      <c r="I147" t="n">
        <v>1</v>
      </c>
      <c r="J147" t="n">
        <v>0</v>
      </c>
      <c r="K147" t="n">
        <v>0</v>
      </c>
      <c r="L147" t="n">
        <v>0</v>
      </c>
      <c r="M147" t="n">
        <v>0</v>
      </c>
      <c r="N147" t="n">
        <v>0</v>
      </c>
      <c r="O147" t="n">
        <v>0</v>
      </c>
      <c r="P147" t="n">
        <v>0</v>
      </c>
      <c r="Q147" t="n">
        <v>1</v>
      </c>
      <c r="R147" s="2" t="inlineStr">
        <is>
          <t>Rödgul trumpetsvamp</t>
        </is>
      </c>
      <c r="S147">
        <f>HYPERLINK("https://klasma.github.io/Logging_0980/artfynd/A 49811-2022 artfynd.xlsx", "A 49811-2022")</f>
        <v/>
      </c>
      <c r="T147">
        <f>HYPERLINK("https://klasma.github.io/Logging_0980/kartor/A 49811-2022 karta.png", "A 49811-2022")</f>
        <v/>
      </c>
      <c r="V147">
        <f>HYPERLINK("https://klasma.github.io/Logging_0980/klagomål/A 49811-2022 FSC-klagomål.docx", "A 49811-2022")</f>
        <v/>
      </c>
      <c r="W147">
        <f>HYPERLINK("https://klasma.github.io/Logging_0980/klagomålsmail/A 49811-2022 FSC-klagomål mail.docx", "A 49811-2022")</f>
        <v/>
      </c>
      <c r="X147">
        <f>HYPERLINK("https://klasma.github.io/Logging_0980/tillsyn/A 49811-2022 tillsynsbegäran.docx", "A 49811-2022")</f>
        <v/>
      </c>
      <c r="Y147">
        <f>HYPERLINK("https://klasma.github.io/Logging_0980/tillsynsmail/A 49811-2022 tillsynsbegäran mail.docx", "A 49811-2022")</f>
        <v/>
      </c>
    </row>
    <row r="148" ht="15" customHeight="1">
      <c r="A148" t="inlineStr">
        <is>
          <t>A 62552-2022</t>
        </is>
      </c>
      <c r="B148" s="1" t="n">
        <v>44924</v>
      </c>
      <c r="C148" s="1" t="n">
        <v>45213</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447-2023</t>
        </is>
      </c>
      <c r="B149" s="1" t="n">
        <v>44929</v>
      </c>
      <c r="C149" s="1" t="n">
        <v>45213</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446-2023</t>
        </is>
      </c>
      <c r="B150" s="1" t="n">
        <v>44929</v>
      </c>
      <c r="C150" s="1" t="n">
        <v>45213</v>
      </c>
      <c r="D150" t="inlineStr">
        <is>
          <t>GOTLANDS LÄN</t>
        </is>
      </c>
      <c r="E150" t="inlineStr">
        <is>
          <t>GOTLAND</t>
        </is>
      </c>
      <c r="G150" t="n">
        <v>7.1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446-2023 artfynd.xlsx", "A 446-2023")</f>
        <v/>
      </c>
      <c r="T150">
        <f>HYPERLINK("https://klasma.github.io/Logging_0980/kartor/A 446-2023 karta.png", "A 446-2023")</f>
        <v/>
      </c>
      <c r="V150">
        <f>HYPERLINK("https://klasma.github.io/Logging_0980/klagomål/A 446-2023 FSC-klagomål.docx", "A 446-2023")</f>
        <v/>
      </c>
      <c r="W150">
        <f>HYPERLINK("https://klasma.github.io/Logging_0980/klagomålsmail/A 446-2023 FSC-klagomål mail.docx", "A 446-2023")</f>
        <v/>
      </c>
      <c r="X150">
        <f>HYPERLINK("https://klasma.github.io/Logging_0980/tillsyn/A 446-2023 tillsynsbegäran.docx", "A 446-2023")</f>
        <v/>
      </c>
      <c r="Y150">
        <f>HYPERLINK("https://klasma.github.io/Logging_0980/tillsynsmail/A 446-2023 tillsynsbegäran mail.docx", "A 446-2023")</f>
        <v/>
      </c>
    </row>
    <row r="151" ht="15" customHeight="1">
      <c r="A151" t="inlineStr">
        <is>
          <t>A 947-2023</t>
        </is>
      </c>
      <c r="B151" s="1" t="n">
        <v>44934</v>
      </c>
      <c r="C151" s="1" t="n">
        <v>45213</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2213-2023</t>
        </is>
      </c>
      <c r="B152" s="1" t="n">
        <v>44942</v>
      </c>
      <c r="C152" s="1" t="n">
        <v>45213</v>
      </c>
      <c r="D152" t="inlineStr">
        <is>
          <t>GOTLANDS LÄN</t>
        </is>
      </c>
      <c r="E152" t="inlineStr">
        <is>
          <t>GOTLAND</t>
        </is>
      </c>
      <c r="G152" t="n">
        <v>2.7</v>
      </c>
      <c r="H152" t="n">
        <v>0</v>
      </c>
      <c r="I152" t="n">
        <v>0</v>
      </c>
      <c r="J152" t="n">
        <v>1</v>
      </c>
      <c r="K152" t="n">
        <v>0</v>
      </c>
      <c r="L152" t="n">
        <v>0</v>
      </c>
      <c r="M152" t="n">
        <v>0</v>
      </c>
      <c r="N152" t="n">
        <v>0</v>
      </c>
      <c r="O152" t="n">
        <v>1</v>
      </c>
      <c r="P152" t="n">
        <v>0</v>
      </c>
      <c r="Q152" t="n">
        <v>1</v>
      </c>
      <c r="R152" s="2" t="inlineStr">
        <is>
          <t>Odörspindling</t>
        </is>
      </c>
      <c r="S152">
        <f>HYPERLINK("https://klasma.github.io/Logging_0980/artfynd/A 2213-2023 artfynd.xlsx", "A 2213-2023")</f>
        <v/>
      </c>
      <c r="T152">
        <f>HYPERLINK("https://klasma.github.io/Logging_0980/kartor/A 2213-2023 karta.png", "A 2213-2023")</f>
        <v/>
      </c>
      <c r="V152">
        <f>HYPERLINK("https://klasma.github.io/Logging_0980/klagomål/A 2213-2023 FSC-klagomål.docx", "A 2213-2023")</f>
        <v/>
      </c>
      <c r="W152">
        <f>HYPERLINK("https://klasma.github.io/Logging_0980/klagomålsmail/A 2213-2023 FSC-klagomål mail.docx", "A 2213-2023")</f>
        <v/>
      </c>
      <c r="X152">
        <f>HYPERLINK("https://klasma.github.io/Logging_0980/tillsyn/A 2213-2023 tillsynsbegäran.docx", "A 2213-2023")</f>
        <v/>
      </c>
      <c r="Y152">
        <f>HYPERLINK("https://klasma.github.io/Logging_0980/tillsynsmail/A 2213-2023 tillsynsbegäran mail.docx", "A 2213-2023")</f>
        <v/>
      </c>
    </row>
    <row r="153" ht="15" customHeight="1">
      <c r="A153" t="inlineStr">
        <is>
          <t>A 10995-2023</t>
        </is>
      </c>
      <c r="B153" s="1" t="n">
        <v>44986</v>
      </c>
      <c r="C153" s="1" t="n">
        <v>45213</v>
      </c>
      <c r="D153" t="inlineStr">
        <is>
          <t>GOTLANDS LÄN</t>
        </is>
      </c>
      <c r="E153" t="inlineStr">
        <is>
          <t>GOTLAND</t>
        </is>
      </c>
      <c r="G153" t="n">
        <v>2.8</v>
      </c>
      <c r="H153" t="n">
        <v>0</v>
      </c>
      <c r="I153" t="n">
        <v>0</v>
      </c>
      <c r="J153" t="n">
        <v>0</v>
      </c>
      <c r="K153" t="n">
        <v>1</v>
      </c>
      <c r="L153" t="n">
        <v>0</v>
      </c>
      <c r="M153" t="n">
        <v>0</v>
      </c>
      <c r="N153" t="n">
        <v>0</v>
      </c>
      <c r="O153" t="n">
        <v>1</v>
      </c>
      <c r="P153" t="n">
        <v>1</v>
      </c>
      <c r="Q153" t="n">
        <v>1</v>
      </c>
      <c r="R153" s="2" t="inlineStr">
        <is>
          <t>Violettfläckig spindling</t>
        </is>
      </c>
      <c r="S153">
        <f>HYPERLINK("https://klasma.github.io/Logging_0980/artfynd/A 10995-2023 artfynd.xlsx", "A 10995-2023")</f>
        <v/>
      </c>
      <c r="T153">
        <f>HYPERLINK("https://klasma.github.io/Logging_0980/kartor/A 10995-2023 karta.png", "A 10995-2023")</f>
        <v/>
      </c>
      <c r="V153">
        <f>HYPERLINK("https://klasma.github.io/Logging_0980/klagomål/A 10995-2023 FSC-klagomål.docx", "A 10995-2023")</f>
        <v/>
      </c>
      <c r="W153">
        <f>HYPERLINK("https://klasma.github.io/Logging_0980/klagomålsmail/A 10995-2023 FSC-klagomål mail.docx", "A 10995-2023")</f>
        <v/>
      </c>
      <c r="X153">
        <f>HYPERLINK("https://klasma.github.io/Logging_0980/tillsyn/A 10995-2023 tillsynsbegäran.docx", "A 10995-2023")</f>
        <v/>
      </c>
      <c r="Y153">
        <f>HYPERLINK("https://klasma.github.io/Logging_0980/tillsynsmail/A 10995-2023 tillsynsbegäran mail.docx", "A 10995-2023")</f>
        <v/>
      </c>
    </row>
    <row r="154" ht="15" customHeight="1">
      <c r="A154" t="inlineStr">
        <is>
          <t>A 15212-2023</t>
        </is>
      </c>
      <c r="B154" s="1" t="n">
        <v>45019</v>
      </c>
      <c r="C154" s="1" t="n">
        <v>45213</v>
      </c>
      <c r="D154" t="inlineStr">
        <is>
          <t>GOTLANDS LÄN</t>
        </is>
      </c>
      <c r="E154" t="inlineStr">
        <is>
          <t>GOTLAND</t>
        </is>
      </c>
      <c r="G154" t="n">
        <v>3.1</v>
      </c>
      <c r="H154" t="n">
        <v>0</v>
      </c>
      <c r="I154" t="n">
        <v>0</v>
      </c>
      <c r="J154" t="n">
        <v>1</v>
      </c>
      <c r="K154" t="n">
        <v>0</v>
      </c>
      <c r="L154" t="n">
        <v>0</v>
      </c>
      <c r="M154" t="n">
        <v>0</v>
      </c>
      <c r="N154" t="n">
        <v>0</v>
      </c>
      <c r="O154" t="n">
        <v>1</v>
      </c>
      <c r="P154" t="n">
        <v>0</v>
      </c>
      <c r="Q154" t="n">
        <v>1</v>
      </c>
      <c r="R154" s="2" t="inlineStr">
        <is>
          <t>Grådådra</t>
        </is>
      </c>
      <c r="S154">
        <f>HYPERLINK("https://klasma.github.io/Logging_0980/artfynd/A 15212-2023 artfynd.xlsx", "A 15212-2023")</f>
        <v/>
      </c>
      <c r="T154">
        <f>HYPERLINK("https://klasma.github.io/Logging_0980/kartor/A 15212-2023 karta.png", "A 15212-2023")</f>
        <v/>
      </c>
      <c r="V154">
        <f>HYPERLINK("https://klasma.github.io/Logging_0980/klagomål/A 15212-2023 FSC-klagomål.docx", "A 15212-2023")</f>
        <v/>
      </c>
      <c r="W154">
        <f>HYPERLINK("https://klasma.github.io/Logging_0980/klagomålsmail/A 15212-2023 FSC-klagomål mail.docx", "A 15212-2023")</f>
        <v/>
      </c>
      <c r="X154">
        <f>HYPERLINK("https://klasma.github.io/Logging_0980/tillsyn/A 15212-2023 tillsynsbegäran.docx", "A 15212-2023")</f>
        <v/>
      </c>
      <c r="Y154">
        <f>HYPERLINK("https://klasma.github.io/Logging_0980/tillsynsmail/A 15212-2023 tillsynsbegäran mail.docx", "A 15212-2023")</f>
        <v/>
      </c>
    </row>
    <row r="155" ht="15" customHeight="1">
      <c r="A155" t="inlineStr">
        <is>
          <t>A 22782-2023</t>
        </is>
      </c>
      <c r="B155" s="1" t="n">
        <v>45072</v>
      </c>
      <c r="C155" s="1" t="n">
        <v>45213</v>
      </c>
      <c r="D155" t="inlineStr">
        <is>
          <t>GOTLANDS LÄN</t>
        </is>
      </c>
      <c r="E155" t="inlineStr">
        <is>
          <t>GOTLAND</t>
        </is>
      </c>
      <c r="F155" t="inlineStr">
        <is>
          <t>Kyrkan</t>
        </is>
      </c>
      <c r="G155" t="n">
        <v>3.1</v>
      </c>
      <c r="H155" t="n">
        <v>1</v>
      </c>
      <c r="I155" t="n">
        <v>0</v>
      </c>
      <c r="J155" t="n">
        <v>0</v>
      </c>
      <c r="K155" t="n">
        <v>0</v>
      </c>
      <c r="L155" t="n">
        <v>0</v>
      </c>
      <c r="M155" t="n">
        <v>0</v>
      </c>
      <c r="N155" t="n">
        <v>0</v>
      </c>
      <c r="O155" t="n">
        <v>0</v>
      </c>
      <c r="P155" t="n">
        <v>0</v>
      </c>
      <c r="Q155" t="n">
        <v>1</v>
      </c>
      <c r="R155" s="2" t="inlineStr">
        <is>
          <t>Ängsnycklar × skogsnycklar</t>
        </is>
      </c>
      <c r="S155">
        <f>HYPERLINK("https://klasma.github.io/Logging_0980/artfynd/A 22782-2023 artfynd.xlsx", "A 22782-2023")</f>
        <v/>
      </c>
      <c r="T155">
        <f>HYPERLINK("https://klasma.github.io/Logging_0980/kartor/A 22782-2023 karta.png", "A 22782-2023")</f>
        <v/>
      </c>
      <c r="V155">
        <f>HYPERLINK("https://klasma.github.io/Logging_0980/klagomål/A 22782-2023 FSC-klagomål.docx", "A 22782-2023")</f>
        <v/>
      </c>
      <c r="W155">
        <f>HYPERLINK("https://klasma.github.io/Logging_0980/klagomålsmail/A 22782-2023 FSC-klagomål mail.docx", "A 22782-2023")</f>
        <v/>
      </c>
      <c r="X155">
        <f>HYPERLINK("https://klasma.github.io/Logging_0980/tillsyn/A 22782-2023 tillsynsbegäran.docx", "A 22782-2023")</f>
        <v/>
      </c>
      <c r="Y155">
        <f>HYPERLINK("https://klasma.github.io/Logging_0980/tillsynsmail/A 22782-2023 tillsynsbegäran mail.docx", "A 22782-2023")</f>
        <v/>
      </c>
    </row>
    <row r="156" ht="15" customHeight="1">
      <c r="A156" t="inlineStr">
        <is>
          <t>A 24007-2023</t>
        </is>
      </c>
      <c r="B156" s="1" t="n">
        <v>45078</v>
      </c>
      <c r="C156" s="1" t="n">
        <v>45213</v>
      </c>
      <c r="D156" t="inlineStr">
        <is>
          <t>GOTLANDS LÄN</t>
        </is>
      </c>
      <c r="E156" t="inlineStr">
        <is>
          <t>GOTLAND</t>
        </is>
      </c>
      <c r="F156" t="inlineStr">
        <is>
          <t>Naturvårdsverket</t>
        </is>
      </c>
      <c r="G156" t="n">
        <v>2.5</v>
      </c>
      <c r="H156" t="n">
        <v>1</v>
      </c>
      <c r="I156" t="n">
        <v>1</v>
      </c>
      <c r="J156" t="n">
        <v>0</v>
      </c>
      <c r="K156" t="n">
        <v>0</v>
      </c>
      <c r="L156" t="n">
        <v>0</v>
      </c>
      <c r="M156" t="n">
        <v>0</v>
      </c>
      <c r="N156" t="n">
        <v>0</v>
      </c>
      <c r="O156" t="n">
        <v>0</v>
      </c>
      <c r="P156" t="n">
        <v>0</v>
      </c>
      <c r="Q156" t="n">
        <v>1</v>
      </c>
      <c r="R156" s="2" t="inlineStr">
        <is>
          <t>Nästrot</t>
        </is>
      </c>
      <c r="S156">
        <f>HYPERLINK("https://klasma.github.io/Logging_0980/artfynd/A 24007-2023 artfynd.xlsx", "A 24007-2023")</f>
        <v/>
      </c>
      <c r="T156">
        <f>HYPERLINK("https://klasma.github.io/Logging_0980/kartor/A 24007-2023 karta.png", "A 24007-2023")</f>
        <v/>
      </c>
      <c r="V156">
        <f>HYPERLINK("https://klasma.github.io/Logging_0980/klagomål/A 24007-2023 FSC-klagomål.docx", "A 24007-2023")</f>
        <v/>
      </c>
      <c r="W156">
        <f>HYPERLINK("https://klasma.github.io/Logging_0980/klagomålsmail/A 24007-2023 FSC-klagomål mail.docx", "A 24007-2023")</f>
        <v/>
      </c>
      <c r="X156">
        <f>HYPERLINK("https://klasma.github.io/Logging_0980/tillsyn/A 24007-2023 tillsynsbegäran.docx", "A 24007-2023")</f>
        <v/>
      </c>
      <c r="Y156">
        <f>HYPERLINK("https://klasma.github.io/Logging_0980/tillsynsmail/A 24007-2023 tillsynsbegäran mail.docx", "A 24007-2023")</f>
        <v/>
      </c>
    </row>
    <row r="157" ht="15" customHeight="1">
      <c r="A157" t="inlineStr">
        <is>
          <t>A 27589-2023</t>
        </is>
      </c>
      <c r="B157" s="1" t="n">
        <v>45097</v>
      </c>
      <c r="C157" s="1" t="n">
        <v>45213</v>
      </c>
      <c r="D157" t="inlineStr">
        <is>
          <t>GOTLANDS LÄN</t>
        </is>
      </c>
      <c r="E157" t="inlineStr">
        <is>
          <t>GOTLAND</t>
        </is>
      </c>
      <c r="G157" t="n">
        <v>5.4</v>
      </c>
      <c r="H157" t="n">
        <v>0</v>
      </c>
      <c r="I157" t="n">
        <v>0</v>
      </c>
      <c r="J157" t="n">
        <v>0</v>
      </c>
      <c r="K157" t="n">
        <v>0</v>
      </c>
      <c r="L157" t="n">
        <v>0</v>
      </c>
      <c r="M157" t="n">
        <v>1</v>
      </c>
      <c r="N157" t="n">
        <v>0</v>
      </c>
      <c r="O157" t="n">
        <v>1</v>
      </c>
      <c r="P157" t="n">
        <v>1</v>
      </c>
      <c r="Q157" t="n">
        <v>1</v>
      </c>
      <c r="R157" s="2" t="inlineStr">
        <is>
          <t>Skogsalm</t>
        </is>
      </c>
      <c r="S157">
        <f>HYPERLINK("https://klasma.github.io/Logging_0980/artfynd/A 27589-2023 artfynd.xlsx", "A 27589-2023")</f>
        <v/>
      </c>
      <c r="T157">
        <f>HYPERLINK("https://klasma.github.io/Logging_0980/kartor/A 27589-2023 karta.png", "A 27589-2023")</f>
        <v/>
      </c>
      <c r="V157">
        <f>HYPERLINK("https://klasma.github.io/Logging_0980/klagomål/A 27589-2023 FSC-klagomål.docx", "A 27589-2023")</f>
        <v/>
      </c>
      <c r="W157">
        <f>HYPERLINK("https://klasma.github.io/Logging_0980/klagomålsmail/A 27589-2023 FSC-klagomål mail.docx", "A 27589-2023")</f>
        <v/>
      </c>
      <c r="X157">
        <f>HYPERLINK("https://klasma.github.io/Logging_0980/tillsyn/A 27589-2023 tillsynsbegäran.docx", "A 27589-2023")</f>
        <v/>
      </c>
      <c r="Y157">
        <f>HYPERLINK("https://klasma.github.io/Logging_0980/tillsynsmail/A 27589-2023 tillsynsbegäran mail.docx", "A 27589-2023")</f>
        <v/>
      </c>
    </row>
    <row r="158" ht="15" customHeight="1">
      <c r="A158" t="inlineStr">
        <is>
          <t>A 28546-2023</t>
        </is>
      </c>
      <c r="B158" s="1" t="n">
        <v>45103</v>
      </c>
      <c r="C158" s="1" t="n">
        <v>45213</v>
      </c>
      <c r="D158" t="inlineStr">
        <is>
          <t>GOTLANDS LÄN</t>
        </is>
      </c>
      <c r="E158" t="inlineStr">
        <is>
          <t>GOTLAND</t>
        </is>
      </c>
      <c r="G158" t="n">
        <v>7.9</v>
      </c>
      <c r="H158" t="n">
        <v>1</v>
      </c>
      <c r="I158" t="n">
        <v>0</v>
      </c>
      <c r="J158" t="n">
        <v>0</v>
      </c>
      <c r="K158" t="n">
        <v>0</v>
      </c>
      <c r="L158" t="n">
        <v>0</v>
      </c>
      <c r="M158" t="n">
        <v>0</v>
      </c>
      <c r="N158" t="n">
        <v>0</v>
      </c>
      <c r="O158" t="n">
        <v>0</v>
      </c>
      <c r="P158" t="n">
        <v>0</v>
      </c>
      <c r="Q158" t="n">
        <v>1</v>
      </c>
      <c r="R158" s="2" t="inlineStr">
        <is>
          <t>Lopplummer</t>
        </is>
      </c>
      <c r="S158">
        <f>HYPERLINK("https://klasma.github.io/Logging_0980/artfynd/A 28546-2023 artfynd.xlsx", "A 28546-2023")</f>
        <v/>
      </c>
      <c r="T158">
        <f>HYPERLINK("https://klasma.github.io/Logging_0980/kartor/A 28546-2023 karta.png", "A 28546-2023")</f>
        <v/>
      </c>
      <c r="V158">
        <f>HYPERLINK("https://klasma.github.io/Logging_0980/klagomål/A 28546-2023 FSC-klagomål.docx", "A 28546-2023")</f>
        <v/>
      </c>
      <c r="W158">
        <f>HYPERLINK("https://klasma.github.io/Logging_0980/klagomålsmail/A 28546-2023 FSC-klagomål mail.docx", "A 28546-2023")</f>
        <v/>
      </c>
      <c r="X158">
        <f>HYPERLINK("https://klasma.github.io/Logging_0980/tillsyn/A 28546-2023 tillsynsbegäran.docx", "A 28546-2023")</f>
        <v/>
      </c>
      <c r="Y158">
        <f>HYPERLINK("https://klasma.github.io/Logging_0980/tillsynsmail/A 28546-2023 tillsynsbegäran mail.docx", "A 28546-2023")</f>
        <v/>
      </c>
    </row>
    <row r="159" ht="15" customHeight="1">
      <c r="A159" t="inlineStr">
        <is>
          <t>A 35615-2023</t>
        </is>
      </c>
      <c r="B159" s="1" t="n">
        <v>45147</v>
      </c>
      <c r="C159" s="1" t="n">
        <v>45213</v>
      </c>
      <c r="D159" t="inlineStr">
        <is>
          <t>GOTLANDS LÄN</t>
        </is>
      </c>
      <c r="E159" t="inlineStr">
        <is>
          <t>GOTLAND</t>
        </is>
      </c>
      <c r="G159" t="n">
        <v>6.1</v>
      </c>
      <c r="H159" t="n">
        <v>0</v>
      </c>
      <c r="I159" t="n">
        <v>0</v>
      </c>
      <c r="J159" t="n">
        <v>1</v>
      </c>
      <c r="K159" t="n">
        <v>0</v>
      </c>
      <c r="L159" t="n">
        <v>0</v>
      </c>
      <c r="M159" t="n">
        <v>0</v>
      </c>
      <c r="N159" t="n">
        <v>0</v>
      </c>
      <c r="O159" t="n">
        <v>1</v>
      </c>
      <c r="P159" t="n">
        <v>0</v>
      </c>
      <c r="Q159" t="n">
        <v>1</v>
      </c>
      <c r="R159" s="2" t="inlineStr">
        <is>
          <t>Åkerranunkel</t>
        </is>
      </c>
      <c r="S159">
        <f>HYPERLINK("https://klasma.github.io/Logging_0980/artfynd/A 35615-2023 artfynd.xlsx", "A 35615-2023")</f>
        <v/>
      </c>
      <c r="T159">
        <f>HYPERLINK("https://klasma.github.io/Logging_0980/kartor/A 35615-2023 karta.png", "A 35615-2023")</f>
        <v/>
      </c>
      <c r="V159">
        <f>HYPERLINK("https://klasma.github.io/Logging_0980/klagomål/A 35615-2023 FSC-klagomål.docx", "A 35615-2023")</f>
        <v/>
      </c>
      <c r="W159">
        <f>HYPERLINK("https://klasma.github.io/Logging_0980/klagomålsmail/A 35615-2023 FSC-klagomål mail.docx", "A 35615-2023")</f>
        <v/>
      </c>
      <c r="X159">
        <f>HYPERLINK("https://klasma.github.io/Logging_0980/tillsyn/A 35615-2023 tillsynsbegäran.docx", "A 35615-2023")</f>
        <v/>
      </c>
      <c r="Y159">
        <f>HYPERLINK("https://klasma.github.io/Logging_0980/tillsynsmail/A 35615-2023 tillsynsbegäran mail.docx", "A 35615-2023")</f>
        <v/>
      </c>
    </row>
    <row r="160" ht="15" customHeight="1">
      <c r="A160" t="inlineStr">
        <is>
          <t>A 37584-2023</t>
        </is>
      </c>
      <c r="B160" s="1" t="n">
        <v>45159</v>
      </c>
      <c r="C160" s="1" t="n">
        <v>45213</v>
      </c>
      <c r="D160" t="inlineStr">
        <is>
          <t>GOTLANDS LÄN</t>
        </is>
      </c>
      <c r="E160" t="inlineStr">
        <is>
          <t>GOTLAND</t>
        </is>
      </c>
      <c r="G160" t="n">
        <v>5.4</v>
      </c>
      <c r="H160" t="n">
        <v>0</v>
      </c>
      <c r="I160" t="n">
        <v>1</v>
      </c>
      <c r="J160" t="n">
        <v>0</v>
      </c>
      <c r="K160" t="n">
        <v>0</v>
      </c>
      <c r="L160" t="n">
        <v>0</v>
      </c>
      <c r="M160" t="n">
        <v>0</v>
      </c>
      <c r="N160" t="n">
        <v>0</v>
      </c>
      <c r="O160" t="n">
        <v>0</v>
      </c>
      <c r="P160" t="n">
        <v>0</v>
      </c>
      <c r="Q160" t="n">
        <v>1</v>
      </c>
      <c r="R160" s="2" t="inlineStr">
        <is>
          <t>Myskmadra</t>
        </is>
      </c>
      <c r="S160">
        <f>HYPERLINK("https://klasma.github.io/Logging_0980/artfynd/A 37584-2023 artfynd.xlsx", "A 37584-2023")</f>
        <v/>
      </c>
      <c r="T160">
        <f>HYPERLINK("https://klasma.github.io/Logging_0980/kartor/A 37584-2023 karta.png", "A 37584-2023")</f>
        <v/>
      </c>
      <c r="V160">
        <f>HYPERLINK("https://klasma.github.io/Logging_0980/klagomål/A 37584-2023 FSC-klagomål.docx", "A 37584-2023")</f>
        <v/>
      </c>
      <c r="W160">
        <f>HYPERLINK("https://klasma.github.io/Logging_0980/klagomålsmail/A 37584-2023 FSC-klagomål mail.docx", "A 37584-2023")</f>
        <v/>
      </c>
      <c r="X160">
        <f>HYPERLINK("https://klasma.github.io/Logging_0980/tillsyn/A 37584-2023 tillsynsbegäran.docx", "A 37584-2023")</f>
        <v/>
      </c>
      <c r="Y160">
        <f>HYPERLINK("https://klasma.github.io/Logging_0980/tillsynsmail/A 37584-2023 tillsynsbegäran mail.docx", "A 37584-2023")</f>
        <v/>
      </c>
    </row>
    <row r="161" ht="15" customHeight="1">
      <c r="A161" t="inlineStr">
        <is>
          <t>A 33912-2018</t>
        </is>
      </c>
      <c r="B161" s="1" t="n">
        <v>43314</v>
      </c>
      <c r="C161" s="1" t="n">
        <v>45213</v>
      </c>
      <c r="D161" t="inlineStr">
        <is>
          <t>GOTLANDS LÄN</t>
        </is>
      </c>
      <c r="E161" t="inlineStr">
        <is>
          <t>GOTLAND</t>
        </is>
      </c>
      <c r="F161" t="inlineStr">
        <is>
          <t>Kyrkan</t>
        </is>
      </c>
      <c r="G161" t="n">
        <v>2.6</v>
      </c>
      <c r="H161" t="n">
        <v>0</v>
      </c>
      <c r="I161" t="n">
        <v>0</v>
      </c>
      <c r="J161" t="n">
        <v>0</v>
      </c>
      <c r="K161" t="n">
        <v>0</v>
      </c>
      <c r="L161" t="n">
        <v>0</v>
      </c>
      <c r="M161" t="n">
        <v>0</v>
      </c>
      <c r="N161" t="n">
        <v>0</v>
      </c>
      <c r="O161" t="n">
        <v>0</v>
      </c>
      <c r="P161" t="n">
        <v>0</v>
      </c>
      <c r="Q161" t="n">
        <v>0</v>
      </c>
      <c r="R161" s="2" t="inlineStr"/>
    </row>
    <row r="162" ht="15" customHeight="1">
      <c r="A162" t="inlineStr">
        <is>
          <t>A 33909-2018</t>
        </is>
      </c>
      <c r="B162" s="1" t="n">
        <v>43314</v>
      </c>
      <c r="C162" s="1" t="n">
        <v>45213</v>
      </c>
      <c r="D162" t="inlineStr">
        <is>
          <t>GOTLANDS LÄN</t>
        </is>
      </c>
      <c r="E162" t="inlineStr">
        <is>
          <t>GOTLAND</t>
        </is>
      </c>
      <c r="F162" t="inlineStr">
        <is>
          <t>Kyrkan</t>
        </is>
      </c>
      <c r="G162" t="n">
        <v>2.8</v>
      </c>
      <c r="H162" t="n">
        <v>0</v>
      </c>
      <c r="I162" t="n">
        <v>0</v>
      </c>
      <c r="J162" t="n">
        <v>0</v>
      </c>
      <c r="K162" t="n">
        <v>0</v>
      </c>
      <c r="L162" t="n">
        <v>0</v>
      </c>
      <c r="M162" t="n">
        <v>0</v>
      </c>
      <c r="N162" t="n">
        <v>0</v>
      </c>
      <c r="O162" t="n">
        <v>0</v>
      </c>
      <c r="P162" t="n">
        <v>0</v>
      </c>
      <c r="Q162" t="n">
        <v>0</v>
      </c>
      <c r="R162" s="2" t="inlineStr"/>
    </row>
    <row r="163" ht="15" customHeight="1">
      <c r="A163" t="inlineStr">
        <is>
          <t>A 34001-2018</t>
        </is>
      </c>
      <c r="B163" s="1" t="n">
        <v>43314</v>
      </c>
      <c r="C163" s="1" t="n">
        <v>45213</v>
      </c>
      <c r="D163" t="inlineStr">
        <is>
          <t>GOTLANDS LÄN</t>
        </is>
      </c>
      <c r="E163" t="inlineStr">
        <is>
          <t>GOTLAND</t>
        </is>
      </c>
      <c r="G163" t="n">
        <v>4</v>
      </c>
      <c r="H163" t="n">
        <v>0</v>
      </c>
      <c r="I163" t="n">
        <v>0</v>
      </c>
      <c r="J163" t="n">
        <v>0</v>
      </c>
      <c r="K163" t="n">
        <v>0</v>
      </c>
      <c r="L163" t="n">
        <v>0</v>
      </c>
      <c r="M163" t="n">
        <v>0</v>
      </c>
      <c r="N163" t="n">
        <v>0</v>
      </c>
      <c r="O163" t="n">
        <v>0</v>
      </c>
      <c r="P163" t="n">
        <v>0</v>
      </c>
      <c r="Q163" t="n">
        <v>0</v>
      </c>
      <c r="R163" s="2" t="inlineStr"/>
    </row>
    <row r="164" ht="15" customHeight="1">
      <c r="A164" t="inlineStr">
        <is>
          <t>A 34207-2018</t>
        </is>
      </c>
      <c r="B164" s="1" t="n">
        <v>43318</v>
      </c>
      <c r="C164" s="1" t="n">
        <v>45213</v>
      </c>
      <c r="D164" t="inlineStr">
        <is>
          <t>GOTLANDS LÄN</t>
        </is>
      </c>
      <c r="E164" t="inlineStr">
        <is>
          <t>GOTLAND</t>
        </is>
      </c>
      <c r="G164" t="n">
        <v>10.2</v>
      </c>
      <c r="H164" t="n">
        <v>0</v>
      </c>
      <c r="I164" t="n">
        <v>0</v>
      </c>
      <c r="J164" t="n">
        <v>0</v>
      </c>
      <c r="K164" t="n">
        <v>0</v>
      </c>
      <c r="L164" t="n">
        <v>0</v>
      </c>
      <c r="M164" t="n">
        <v>0</v>
      </c>
      <c r="N164" t="n">
        <v>0</v>
      </c>
      <c r="O164" t="n">
        <v>0</v>
      </c>
      <c r="P164" t="n">
        <v>0</v>
      </c>
      <c r="Q164" t="n">
        <v>0</v>
      </c>
      <c r="R164" s="2" t="inlineStr"/>
    </row>
    <row r="165" ht="15" customHeight="1">
      <c r="A165" t="inlineStr">
        <is>
          <t>A 35982-2018</t>
        </is>
      </c>
      <c r="B165" s="1" t="n">
        <v>43327</v>
      </c>
      <c r="C165" s="1" t="n">
        <v>45213</v>
      </c>
      <c r="D165" t="inlineStr">
        <is>
          <t>GOTLANDS LÄN</t>
        </is>
      </c>
      <c r="E165" t="inlineStr">
        <is>
          <t>GOTLAND</t>
        </is>
      </c>
      <c r="G165" t="n">
        <v>1.8</v>
      </c>
      <c r="H165" t="n">
        <v>0</v>
      </c>
      <c r="I165" t="n">
        <v>0</v>
      </c>
      <c r="J165" t="n">
        <v>0</v>
      </c>
      <c r="K165" t="n">
        <v>0</v>
      </c>
      <c r="L165" t="n">
        <v>0</v>
      </c>
      <c r="M165" t="n">
        <v>0</v>
      </c>
      <c r="N165" t="n">
        <v>0</v>
      </c>
      <c r="O165" t="n">
        <v>0</v>
      </c>
      <c r="P165" t="n">
        <v>0</v>
      </c>
      <c r="Q165" t="n">
        <v>0</v>
      </c>
      <c r="R165" s="2" t="inlineStr"/>
    </row>
    <row r="166" ht="15" customHeight="1">
      <c r="A166" t="inlineStr">
        <is>
          <t>A 36382-2018</t>
        </is>
      </c>
      <c r="B166" s="1" t="n">
        <v>43328</v>
      </c>
      <c r="C166" s="1" t="n">
        <v>45213</v>
      </c>
      <c r="D166" t="inlineStr">
        <is>
          <t>GOTLANDS LÄN</t>
        </is>
      </c>
      <c r="E166" t="inlineStr">
        <is>
          <t>GOTLAND</t>
        </is>
      </c>
      <c r="G166" t="n">
        <v>0.8</v>
      </c>
      <c r="H166" t="n">
        <v>0</v>
      </c>
      <c r="I166" t="n">
        <v>0</v>
      </c>
      <c r="J166" t="n">
        <v>0</v>
      </c>
      <c r="K166" t="n">
        <v>0</v>
      </c>
      <c r="L166" t="n">
        <v>0</v>
      </c>
      <c r="M166" t="n">
        <v>0</v>
      </c>
      <c r="N166" t="n">
        <v>0</v>
      </c>
      <c r="O166" t="n">
        <v>0</v>
      </c>
      <c r="P166" t="n">
        <v>0</v>
      </c>
      <c r="Q166" t="n">
        <v>0</v>
      </c>
      <c r="R166" s="2" t="inlineStr"/>
    </row>
    <row r="167" ht="15" customHeight="1">
      <c r="A167" t="inlineStr">
        <is>
          <t>A 37717-2018</t>
        </is>
      </c>
      <c r="B167" s="1" t="n">
        <v>43335</v>
      </c>
      <c r="C167" s="1" t="n">
        <v>45213</v>
      </c>
      <c r="D167" t="inlineStr">
        <is>
          <t>GOTLANDS LÄN</t>
        </is>
      </c>
      <c r="E167" t="inlineStr">
        <is>
          <t>GOTLAND</t>
        </is>
      </c>
      <c r="G167" t="n">
        <v>1</v>
      </c>
      <c r="H167" t="n">
        <v>0</v>
      </c>
      <c r="I167" t="n">
        <v>0</v>
      </c>
      <c r="J167" t="n">
        <v>0</v>
      </c>
      <c r="K167" t="n">
        <v>0</v>
      </c>
      <c r="L167" t="n">
        <v>0</v>
      </c>
      <c r="M167" t="n">
        <v>0</v>
      </c>
      <c r="N167" t="n">
        <v>0</v>
      </c>
      <c r="O167" t="n">
        <v>0</v>
      </c>
      <c r="P167" t="n">
        <v>0</v>
      </c>
      <c r="Q167" t="n">
        <v>0</v>
      </c>
      <c r="R167" s="2" t="inlineStr"/>
    </row>
    <row r="168" ht="15" customHeight="1">
      <c r="A168" t="inlineStr">
        <is>
          <t>A 39580-2018</t>
        </is>
      </c>
      <c r="B168" s="1" t="n">
        <v>43341</v>
      </c>
      <c r="C168" s="1" t="n">
        <v>45213</v>
      </c>
      <c r="D168" t="inlineStr">
        <is>
          <t>GOTLANDS LÄN</t>
        </is>
      </c>
      <c r="E168" t="inlineStr">
        <is>
          <t>GOTLAND</t>
        </is>
      </c>
      <c r="G168" t="n">
        <v>2.2</v>
      </c>
      <c r="H168" t="n">
        <v>0</v>
      </c>
      <c r="I168" t="n">
        <v>0</v>
      </c>
      <c r="J168" t="n">
        <v>0</v>
      </c>
      <c r="K168" t="n">
        <v>0</v>
      </c>
      <c r="L168" t="n">
        <v>0</v>
      </c>
      <c r="M168" t="n">
        <v>0</v>
      </c>
      <c r="N168" t="n">
        <v>0</v>
      </c>
      <c r="O168" t="n">
        <v>0</v>
      </c>
      <c r="P168" t="n">
        <v>0</v>
      </c>
      <c r="Q168" t="n">
        <v>0</v>
      </c>
      <c r="R168" s="2" t="inlineStr"/>
    </row>
    <row r="169" ht="15" customHeight="1">
      <c r="A169" t="inlineStr">
        <is>
          <t>A 40674-2018</t>
        </is>
      </c>
      <c r="B169" s="1" t="n">
        <v>43346</v>
      </c>
      <c r="C169" s="1" t="n">
        <v>45213</v>
      </c>
      <c r="D169" t="inlineStr">
        <is>
          <t>GOTLANDS LÄN</t>
        </is>
      </c>
      <c r="E169" t="inlineStr">
        <is>
          <t>GOTLAND</t>
        </is>
      </c>
      <c r="F169" t="inlineStr">
        <is>
          <t>Kyrkan</t>
        </is>
      </c>
      <c r="G169" t="n">
        <v>2.5</v>
      </c>
      <c r="H169" t="n">
        <v>0</v>
      </c>
      <c r="I169" t="n">
        <v>0</v>
      </c>
      <c r="J169" t="n">
        <v>0</v>
      </c>
      <c r="K169" t="n">
        <v>0</v>
      </c>
      <c r="L169" t="n">
        <v>0</v>
      </c>
      <c r="M169" t="n">
        <v>0</v>
      </c>
      <c r="N169" t="n">
        <v>0</v>
      </c>
      <c r="O169" t="n">
        <v>0</v>
      </c>
      <c r="P169" t="n">
        <v>0</v>
      </c>
      <c r="Q169" t="n">
        <v>0</v>
      </c>
      <c r="R169" s="2" t="inlineStr"/>
    </row>
    <row r="170" ht="15" customHeight="1">
      <c r="A170" t="inlineStr">
        <is>
          <t>A 42641-2018</t>
        </is>
      </c>
      <c r="B170" s="1" t="n">
        <v>43354</v>
      </c>
      <c r="C170" s="1" t="n">
        <v>45213</v>
      </c>
      <c r="D170" t="inlineStr">
        <is>
          <t>GOTLANDS LÄN</t>
        </is>
      </c>
      <c r="E170" t="inlineStr">
        <is>
          <t>GOTLAND</t>
        </is>
      </c>
      <c r="G170" t="n">
        <v>3.5</v>
      </c>
      <c r="H170" t="n">
        <v>0</v>
      </c>
      <c r="I170" t="n">
        <v>0</v>
      </c>
      <c r="J170" t="n">
        <v>0</v>
      </c>
      <c r="K170" t="n">
        <v>0</v>
      </c>
      <c r="L170" t="n">
        <v>0</v>
      </c>
      <c r="M170" t="n">
        <v>0</v>
      </c>
      <c r="N170" t="n">
        <v>0</v>
      </c>
      <c r="O170" t="n">
        <v>0</v>
      </c>
      <c r="P170" t="n">
        <v>0</v>
      </c>
      <c r="Q170" t="n">
        <v>0</v>
      </c>
      <c r="R170" s="2" t="inlineStr"/>
    </row>
    <row r="171" ht="15" customHeight="1">
      <c r="A171" t="inlineStr">
        <is>
          <t>A 43221-2018</t>
        </is>
      </c>
      <c r="B171" s="1" t="n">
        <v>43354</v>
      </c>
      <c r="C171" s="1" t="n">
        <v>45213</v>
      </c>
      <c r="D171" t="inlineStr">
        <is>
          <t>GOTLANDS LÄN</t>
        </is>
      </c>
      <c r="E171" t="inlineStr">
        <is>
          <t>GOTLAND</t>
        </is>
      </c>
      <c r="G171" t="n">
        <v>0.9</v>
      </c>
      <c r="H171" t="n">
        <v>0</v>
      </c>
      <c r="I171" t="n">
        <v>0</v>
      </c>
      <c r="J171" t="n">
        <v>0</v>
      </c>
      <c r="K171" t="n">
        <v>0</v>
      </c>
      <c r="L171" t="n">
        <v>0</v>
      </c>
      <c r="M171" t="n">
        <v>0</v>
      </c>
      <c r="N171" t="n">
        <v>0</v>
      </c>
      <c r="O171" t="n">
        <v>0</v>
      </c>
      <c r="P171" t="n">
        <v>0</v>
      </c>
      <c r="Q171" t="n">
        <v>0</v>
      </c>
      <c r="R171" s="2" t="inlineStr"/>
    </row>
    <row r="172" ht="15" customHeight="1">
      <c r="A172" t="inlineStr">
        <is>
          <t>A 42634-2018</t>
        </is>
      </c>
      <c r="B172" s="1" t="n">
        <v>43354</v>
      </c>
      <c r="C172" s="1" t="n">
        <v>45213</v>
      </c>
      <c r="D172" t="inlineStr">
        <is>
          <t>GOTLANDS LÄN</t>
        </is>
      </c>
      <c r="E172" t="inlineStr">
        <is>
          <t>GOTLAND</t>
        </is>
      </c>
      <c r="G172" t="n">
        <v>11.3</v>
      </c>
      <c r="H172" t="n">
        <v>0</v>
      </c>
      <c r="I172" t="n">
        <v>0</v>
      </c>
      <c r="J172" t="n">
        <v>0</v>
      </c>
      <c r="K172" t="n">
        <v>0</v>
      </c>
      <c r="L172" t="n">
        <v>0</v>
      </c>
      <c r="M172" t="n">
        <v>0</v>
      </c>
      <c r="N172" t="n">
        <v>0</v>
      </c>
      <c r="O172" t="n">
        <v>0</v>
      </c>
      <c r="P172" t="n">
        <v>0</v>
      </c>
      <c r="Q172" t="n">
        <v>0</v>
      </c>
      <c r="R172" s="2" t="inlineStr"/>
    </row>
    <row r="173" ht="15" customHeight="1">
      <c r="A173" t="inlineStr">
        <is>
          <t>A 43409-2018</t>
        </is>
      </c>
      <c r="B173" s="1" t="n">
        <v>43356</v>
      </c>
      <c r="C173" s="1" t="n">
        <v>45213</v>
      </c>
      <c r="D173" t="inlineStr">
        <is>
          <t>GOTLANDS LÄN</t>
        </is>
      </c>
      <c r="E173" t="inlineStr">
        <is>
          <t>GOTLAND</t>
        </is>
      </c>
      <c r="G173" t="n">
        <v>3.7</v>
      </c>
      <c r="H173" t="n">
        <v>0</v>
      </c>
      <c r="I173" t="n">
        <v>0</v>
      </c>
      <c r="J173" t="n">
        <v>0</v>
      </c>
      <c r="K173" t="n">
        <v>0</v>
      </c>
      <c r="L173" t="n">
        <v>0</v>
      </c>
      <c r="M173" t="n">
        <v>0</v>
      </c>
      <c r="N173" t="n">
        <v>0</v>
      </c>
      <c r="O173" t="n">
        <v>0</v>
      </c>
      <c r="P173" t="n">
        <v>0</v>
      </c>
      <c r="Q173" t="n">
        <v>0</v>
      </c>
      <c r="R173" s="2" t="inlineStr"/>
    </row>
    <row r="174" ht="15" customHeight="1">
      <c r="A174" t="inlineStr">
        <is>
          <t>A 47092-2018</t>
        </is>
      </c>
      <c r="B174" s="1" t="n">
        <v>43369</v>
      </c>
      <c r="C174" s="1" t="n">
        <v>45213</v>
      </c>
      <c r="D174" t="inlineStr">
        <is>
          <t>GOTLANDS LÄN</t>
        </is>
      </c>
      <c r="E174" t="inlineStr">
        <is>
          <t>GOTLAND</t>
        </is>
      </c>
      <c r="G174" t="n">
        <v>4.5</v>
      </c>
      <c r="H174" t="n">
        <v>0</v>
      </c>
      <c r="I174" t="n">
        <v>0</v>
      </c>
      <c r="J174" t="n">
        <v>0</v>
      </c>
      <c r="K174" t="n">
        <v>0</v>
      </c>
      <c r="L174" t="n">
        <v>0</v>
      </c>
      <c r="M174" t="n">
        <v>0</v>
      </c>
      <c r="N174" t="n">
        <v>0</v>
      </c>
      <c r="O174" t="n">
        <v>0</v>
      </c>
      <c r="P174" t="n">
        <v>0</v>
      </c>
      <c r="Q174" t="n">
        <v>0</v>
      </c>
      <c r="R174" s="2" t="inlineStr"/>
    </row>
    <row r="175" ht="15" customHeight="1">
      <c r="A175" t="inlineStr">
        <is>
          <t>A 51725-2018</t>
        </is>
      </c>
      <c r="B175" s="1" t="n">
        <v>43382</v>
      </c>
      <c r="C175" s="1" t="n">
        <v>45213</v>
      </c>
      <c r="D175" t="inlineStr">
        <is>
          <t>GOTLANDS LÄN</t>
        </is>
      </c>
      <c r="E175" t="inlineStr">
        <is>
          <t>GOTLAND</t>
        </is>
      </c>
      <c r="G175" t="n">
        <v>9</v>
      </c>
      <c r="H175" t="n">
        <v>0</v>
      </c>
      <c r="I175" t="n">
        <v>0</v>
      </c>
      <c r="J175" t="n">
        <v>0</v>
      </c>
      <c r="K175" t="n">
        <v>0</v>
      </c>
      <c r="L175" t="n">
        <v>0</v>
      </c>
      <c r="M175" t="n">
        <v>0</v>
      </c>
      <c r="N175" t="n">
        <v>0</v>
      </c>
      <c r="O175" t="n">
        <v>0</v>
      </c>
      <c r="P175" t="n">
        <v>0</v>
      </c>
      <c r="Q175" t="n">
        <v>0</v>
      </c>
      <c r="R175" s="2" t="inlineStr"/>
    </row>
    <row r="176" ht="15" customHeight="1">
      <c r="A176" t="inlineStr">
        <is>
          <t>A 52308-2018</t>
        </is>
      </c>
      <c r="B176" s="1" t="n">
        <v>43388</v>
      </c>
      <c r="C176" s="1" t="n">
        <v>45213</v>
      </c>
      <c r="D176" t="inlineStr">
        <is>
          <t>GOTLANDS LÄN</t>
        </is>
      </c>
      <c r="E176" t="inlineStr">
        <is>
          <t>GOTLAND</t>
        </is>
      </c>
      <c r="G176" t="n">
        <v>3.3</v>
      </c>
      <c r="H176" t="n">
        <v>0</v>
      </c>
      <c r="I176" t="n">
        <v>0</v>
      </c>
      <c r="J176" t="n">
        <v>0</v>
      </c>
      <c r="K176" t="n">
        <v>0</v>
      </c>
      <c r="L176" t="n">
        <v>0</v>
      </c>
      <c r="M176" t="n">
        <v>0</v>
      </c>
      <c r="N176" t="n">
        <v>0</v>
      </c>
      <c r="O176" t="n">
        <v>0</v>
      </c>
      <c r="P176" t="n">
        <v>0</v>
      </c>
      <c r="Q176" t="n">
        <v>0</v>
      </c>
      <c r="R176" s="2" t="inlineStr"/>
    </row>
    <row r="177" ht="15" customHeight="1">
      <c r="A177" t="inlineStr">
        <is>
          <t>A 52305-2018</t>
        </is>
      </c>
      <c r="B177" s="1" t="n">
        <v>43388</v>
      </c>
      <c r="C177" s="1" t="n">
        <v>45213</v>
      </c>
      <c r="D177" t="inlineStr">
        <is>
          <t>GOTLANDS LÄN</t>
        </is>
      </c>
      <c r="E177" t="inlineStr">
        <is>
          <t>GOTLAND</t>
        </is>
      </c>
      <c r="G177" t="n">
        <v>1.1</v>
      </c>
      <c r="H177" t="n">
        <v>0</v>
      </c>
      <c r="I177" t="n">
        <v>0</v>
      </c>
      <c r="J177" t="n">
        <v>0</v>
      </c>
      <c r="K177" t="n">
        <v>0</v>
      </c>
      <c r="L177" t="n">
        <v>0</v>
      </c>
      <c r="M177" t="n">
        <v>0</v>
      </c>
      <c r="N177" t="n">
        <v>0</v>
      </c>
      <c r="O177" t="n">
        <v>0</v>
      </c>
      <c r="P177" t="n">
        <v>0</v>
      </c>
      <c r="Q177" t="n">
        <v>0</v>
      </c>
      <c r="R177" s="2" t="inlineStr"/>
    </row>
    <row r="178" ht="15" customHeight="1">
      <c r="A178" t="inlineStr">
        <is>
          <t>A 53044-2018</t>
        </is>
      </c>
      <c r="B178" s="1" t="n">
        <v>43390</v>
      </c>
      <c r="C178" s="1" t="n">
        <v>45213</v>
      </c>
      <c r="D178" t="inlineStr">
        <is>
          <t>GOTLANDS LÄN</t>
        </is>
      </c>
      <c r="E178" t="inlineStr">
        <is>
          <t>GOTLAND</t>
        </is>
      </c>
      <c r="G178" t="n">
        <v>7.3</v>
      </c>
      <c r="H178" t="n">
        <v>0</v>
      </c>
      <c r="I178" t="n">
        <v>0</v>
      </c>
      <c r="J178" t="n">
        <v>0</v>
      </c>
      <c r="K178" t="n">
        <v>0</v>
      </c>
      <c r="L178" t="n">
        <v>0</v>
      </c>
      <c r="M178" t="n">
        <v>0</v>
      </c>
      <c r="N178" t="n">
        <v>0</v>
      </c>
      <c r="O178" t="n">
        <v>0</v>
      </c>
      <c r="P178" t="n">
        <v>0</v>
      </c>
      <c r="Q178" t="n">
        <v>0</v>
      </c>
      <c r="R178" s="2" t="inlineStr"/>
    </row>
    <row r="179" ht="15" customHeight="1">
      <c r="A179" t="inlineStr">
        <is>
          <t>A 55142-2018</t>
        </is>
      </c>
      <c r="B179" s="1" t="n">
        <v>43396</v>
      </c>
      <c r="C179" s="1" t="n">
        <v>45213</v>
      </c>
      <c r="D179" t="inlineStr">
        <is>
          <t>GOTLANDS LÄN</t>
        </is>
      </c>
      <c r="E179" t="inlineStr">
        <is>
          <t>GOTLAND</t>
        </is>
      </c>
      <c r="G179" t="n">
        <v>5.8</v>
      </c>
      <c r="H179" t="n">
        <v>0</v>
      </c>
      <c r="I179" t="n">
        <v>0</v>
      </c>
      <c r="J179" t="n">
        <v>0</v>
      </c>
      <c r="K179" t="n">
        <v>0</v>
      </c>
      <c r="L179" t="n">
        <v>0</v>
      </c>
      <c r="M179" t="n">
        <v>0</v>
      </c>
      <c r="N179" t="n">
        <v>0</v>
      </c>
      <c r="O179" t="n">
        <v>0</v>
      </c>
      <c r="P179" t="n">
        <v>0</v>
      </c>
      <c r="Q179" t="n">
        <v>0</v>
      </c>
      <c r="R179" s="2" t="inlineStr"/>
    </row>
    <row r="180" ht="15" customHeight="1">
      <c r="A180" t="inlineStr">
        <is>
          <t>A 54851-2018</t>
        </is>
      </c>
      <c r="B180" s="1" t="n">
        <v>43396</v>
      </c>
      <c r="C180" s="1" t="n">
        <v>45213</v>
      </c>
      <c r="D180" t="inlineStr">
        <is>
          <t>GOTLANDS LÄN</t>
        </is>
      </c>
      <c r="E180" t="inlineStr">
        <is>
          <t>GOTLAND</t>
        </is>
      </c>
      <c r="G180" t="n">
        <v>2.2</v>
      </c>
      <c r="H180" t="n">
        <v>0</v>
      </c>
      <c r="I180" t="n">
        <v>0</v>
      </c>
      <c r="J180" t="n">
        <v>0</v>
      </c>
      <c r="K180" t="n">
        <v>0</v>
      </c>
      <c r="L180" t="n">
        <v>0</v>
      </c>
      <c r="M180" t="n">
        <v>0</v>
      </c>
      <c r="N180" t="n">
        <v>0</v>
      </c>
      <c r="O180" t="n">
        <v>0</v>
      </c>
      <c r="P180" t="n">
        <v>0</v>
      </c>
      <c r="Q180" t="n">
        <v>0</v>
      </c>
      <c r="R180" s="2" t="inlineStr"/>
    </row>
    <row r="181" ht="15" customHeight="1">
      <c r="A181" t="inlineStr">
        <is>
          <t>A 56472-2018</t>
        </is>
      </c>
      <c r="B181" s="1" t="n">
        <v>43399</v>
      </c>
      <c r="C181" s="1" t="n">
        <v>45213</v>
      </c>
      <c r="D181" t="inlineStr">
        <is>
          <t>GOTLANDS LÄN</t>
        </is>
      </c>
      <c r="E181" t="inlineStr">
        <is>
          <t>GOTLAND</t>
        </is>
      </c>
      <c r="G181" t="n">
        <v>1.8</v>
      </c>
      <c r="H181" t="n">
        <v>0</v>
      </c>
      <c r="I181" t="n">
        <v>0</v>
      </c>
      <c r="J181" t="n">
        <v>0</v>
      </c>
      <c r="K181" t="n">
        <v>0</v>
      </c>
      <c r="L181" t="n">
        <v>0</v>
      </c>
      <c r="M181" t="n">
        <v>0</v>
      </c>
      <c r="N181" t="n">
        <v>0</v>
      </c>
      <c r="O181" t="n">
        <v>0</v>
      </c>
      <c r="P181" t="n">
        <v>0</v>
      </c>
      <c r="Q181" t="n">
        <v>0</v>
      </c>
      <c r="R181" s="2" t="inlineStr"/>
    </row>
    <row r="182" ht="15" customHeight="1">
      <c r="A182" t="inlineStr">
        <is>
          <t>A 56793-2018</t>
        </is>
      </c>
      <c r="B182" s="1" t="n">
        <v>43402</v>
      </c>
      <c r="C182" s="1" t="n">
        <v>45213</v>
      </c>
      <c r="D182" t="inlineStr">
        <is>
          <t>GOTLANDS LÄN</t>
        </is>
      </c>
      <c r="E182" t="inlineStr">
        <is>
          <t>GOTLAND</t>
        </is>
      </c>
      <c r="G182" t="n">
        <v>7.9</v>
      </c>
      <c r="H182" t="n">
        <v>0</v>
      </c>
      <c r="I182" t="n">
        <v>0</v>
      </c>
      <c r="J182" t="n">
        <v>0</v>
      </c>
      <c r="K182" t="n">
        <v>0</v>
      </c>
      <c r="L182" t="n">
        <v>0</v>
      </c>
      <c r="M182" t="n">
        <v>0</v>
      </c>
      <c r="N182" t="n">
        <v>0</v>
      </c>
      <c r="O182" t="n">
        <v>0</v>
      </c>
      <c r="P182" t="n">
        <v>0</v>
      </c>
      <c r="Q182" t="n">
        <v>0</v>
      </c>
      <c r="R182" s="2" t="inlineStr"/>
    </row>
    <row r="183" ht="15" customHeight="1">
      <c r="A183" t="inlineStr">
        <is>
          <t>A 57850-2018</t>
        </is>
      </c>
      <c r="B183" s="1" t="n">
        <v>43405</v>
      </c>
      <c r="C183" s="1" t="n">
        <v>45213</v>
      </c>
      <c r="D183" t="inlineStr">
        <is>
          <t>GOTLANDS LÄN</t>
        </is>
      </c>
      <c r="E183" t="inlineStr">
        <is>
          <t>GOTLAND</t>
        </is>
      </c>
      <c r="G183" t="n">
        <v>12.3</v>
      </c>
      <c r="H183" t="n">
        <v>0</v>
      </c>
      <c r="I183" t="n">
        <v>0</v>
      </c>
      <c r="J183" t="n">
        <v>0</v>
      </c>
      <c r="K183" t="n">
        <v>0</v>
      </c>
      <c r="L183" t="n">
        <v>0</v>
      </c>
      <c r="M183" t="n">
        <v>0</v>
      </c>
      <c r="N183" t="n">
        <v>0</v>
      </c>
      <c r="O183" t="n">
        <v>0</v>
      </c>
      <c r="P183" t="n">
        <v>0</v>
      </c>
      <c r="Q183" t="n">
        <v>0</v>
      </c>
      <c r="R183" s="2" t="inlineStr"/>
    </row>
    <row r="184" ht="15" customHeight="1">
      <c r="A184" t="inlineStr">
        <is>
          <t>A 60371-2018</t>
        </is>
      </c>
      <c r="B184" s="1" t="n">
        <v>43406</v>
      </c>
      <c r="C184" s="1" t="n">
        <v>45213</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60822-2018</t>
        </is>
      </c>
      <c r="B185" s="1" t="n">
        <v>43410</v>
      </c>
      <c r="C185" s="1" t="n">
        <v>45213</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60820-2018</t>
        </is>
      </c>
      <c r="B186" s="1" t="n">
        <v>43410</v>
      </c>
      <c r="C186" s="1" t="n">
        <v>45213</v>
      </c>
      <c r="D186" t="inlineStr">
        <is>
          <t>GOTLANDS LÄN</t>
        </is>
      </c>
      <c r="E186" t="inlineStr">
        <is>
          <t>GOTLAND</t>
        </is>
      </c>
      <c r="G186" t="n">
        <v>2.9</v>
      </c>
      <c r="H186" t="n">
        <v>0</v>
      </c>
      <c r="I186" t="n">
        <v>0</v>
      </c>
      <c r="J186" t="n">
        <v>0</v>
      </c>
      <c r="K186" t="n">
        <v>0</v>
      </c>
      <c r="L186" t="n">
        <v>0</v>
      </c>
      <c r="M186" t="n">
        <v>0</v>
      </c>
      <c r="N186" t="n">
        <v>0</v>
      </c>
      <c r="O186" t="n">
        <v>0</v>
      </c>
      <c r="P186" t="n">
        <v>0</v>
      </c>
      <c r="Q186" t="n">
        <v>0</v>
      </c>
      <c r="R186" s="2" t="inlineStr"/>
    </row>
    <row r="187" ht="15" customHeight="1">
      <c r="A187" t="inlineStr">
        <is>
          <t>A 60095-2018</t>
        </is>
      </c>
      <c r="B187" s="1" t="n">
        <v>43412</v>
      </c>
      <c r="C187" s="1" t="n">
        <v>45213</v>
      </c>
      <c r="D187" t="inlineStr">
        <is>
          <t>GOTLANDS LÄN</t>
        </is>
      </c>
      <c r="E187" t="inlineStr">
        <is>
          <t>GOTLAND</t>
        </is>
      </c>
      <c r="G187" t="n">
        <v>3</v>
      </c>
      <c r="H187" t="n">
        <v>0</v>
      </c>
      <c r="I187" t="n">
        <v>0</v>
      </c>
      <c r="J187" t="n">
        <v>0</v>
      </c>
      <c r="K187" t="n">
        <v>0</v>
      </c>
      <c r="L187" t="n">
        <v>0</v>
      </c>
      <c r="M187" t="n">
        <v>0</v>
      </c>
      <c r="N187" t="n">
        <v>0</v>
      </c>
      <c r="O187" t="n">
        <v>0</v>
      </c>
      <c r="P187" t="n">
        <v>0</v>
      </c>
      <c r="Q187" t="n">
        <v>0</v>
      </c>
      <c r="R187" s="2" t="inlineStr"/>
    </row>
    <row r="188" ht="15" customHeight="1">
      <c r="A188" t="inlineStr">
        <is>
          <t>A 60096-2018</t>
        </is>
      </c>
      <c r="B188" s="1" t="n">
        <v>43412</v>
      </c>
      <c r="C188" s="1" t="n">
        <v>45213</v>
      </c>
      <c r="D188" t="inlineStr">
        <is>
          <t>GOTLANDS LÄN</t>
        </is>
      </c>
      <c r="E188" t="inlineStr">
        <is>
          <t>GOTLAND</t>
        </is>
      </c>
      <c r="G188" t="n">
        <v>3.4</v>
      </c>
      <c r="H188" t="n">
        <v>0</v>
      </c>
      <c r="I188" t="n">
        <v>0</v>
      </c>
      <c r="J188" t="n">
        <v>0</v>
      </c>
      <c r="K188" t="n">
        <v>0</v>
      </c>
      <c r="L188" t="n">
        <v>0</v>
      </c>
      <c r="M188" t="n">
        <v>0</v>
      </c>
      <c r="N188" t="n">
        <v>0</v>
      </c>
      <c r="O188" t="n">
        <v>0</v>
      </c>
      <c r="P188" t="n">
        <v>0</v>
      </c>
      <c r="Q188" t="n">
        <v>0</v>
      </c>
      <c r="R188" s="2" t="inlineStr"/>
    </row>
    <row r="189" ht="15" customHeight="1">
      <c r="A189" t="inlineStr">
        <is>
          <t>A 60076-2018</t>
        </is>
      </c>
      <c r="B189" s="1" t="n">
        <v>43412</v>
      </c>
      <c r="C189" s="1" t="n">
        <v>45213</v>
      </c>
      <c r="D189" t="inlineStr">
        <is>
          <t>GOTLANDS LÄN</t>
        </is>
      </c>
      <c r="E189" t="inlineStr">
        <is>
          <t>GOTLAND</t>
        </is>
      </c>
      <c r="G189" t="n">
        <v>1.8</v>
      </c>
      <c r="H189" t="n">
        <v>0</v>
      </c>
      <c r="I189" t="n">
        <v>0</v>
      </c>
      <c r="J189" t="n">
        <v>0</v>
      </c>
      <c r="K189" t="n">
        <v>0</v>
      </c>
      <c r="L189" t="n">
        <v>0</v>
      </c>
      <c r="M189" t="n">
        <v>0</v>
      </c>
      <c r="N189" t="n">
        <v>0</v>
      </c>
      <c r="O189" t="n">
        <v>0</v>
      </c>
      <c r="P189" t="n">
        <v>0</v>
      </c>
      <c r="Q189" t="n">
        <v>0</v>
      </c>
      <c r="R189" s="2" t="inlineStr"/>
    </row>
    <row r="190" ht="15" customHeight="1">
      <c r="A190" t="inlineStr">
        <is>
          <t>A 59365-2018</t>
        </is>
      </c>
      <c r="B190" s="1" t="n">
        <v>43418</v>
      </c>
      <c r="C190" s="1" t="n">
        <v>45213</v>
      </c>
      <c r="D190" t="inlineStr">
        <is>
          <t>GOTLANDS LÄN</t>
        </is>
      </c>
      <c r="E190" t="inlineStr">
        <is>
          <t>GOTLAND</t>
        </is>
      </c>
      <c r="G190" t="n">
        <v>1</v>
      </c>
      <c r="H190" t="n">
        <v>0</v>
      </c>
      <c r="I190" t="n">
        <v>0</v>
      </c>
      <c r="J190" t="n">
        <v>0</v>
      </c>
      <c r="K190" t="n">
        <v>0</v>
      </c>
      <c r="L190" t="n">
        <v>0</v>
      </c>
      <c r="M190" t="n">
        <v>0</v>
      </c>
      <c r="N190" t="n">
        <v>0</v>
      </c>
      <c r="O190" t="n">
        <v>0</v>
      </c>
      <c r="P190" t="n">
        <v>0</v>
      </c>
      <c r="Q190" t="n">
        <v>0</v>
      </c>
      <c r="R190" s="2" t="inlineStr"/>
    </row>
    <row r="191" ht="15" customHeight="1">
      <c r="A191" t="inlineStr">
        <is>
          <t>A 61018-2018</t>
        </is>
      </c>
      <c r="B191" s="1" t="n">
        <v>43423</v>
      </c>
      <c r="C191" s="1" t="n">
        <v>45213</v>
      </c>
      <c r="D191" t="inlineStr">
        <is>
          <t>GOTLANDS LÄN</t>
        </is>
      </c>
      <c r="E191" t="inlineStr">
        <is>
          <t>GOTLAND</t>
        </is>
      </c>
      <c r="G191" t="n">
        <v>3.3</v>
      </c>
      <c r="H191" t="n">
        <v>0</v>
      </c>
      <c r="I191" t="n">
        <v>0</v>
      </c>
      <c r="J191" t="n">
        <v>0</v>
      </c>
      <c r="K191" t="n">
        <v>0</v>
      </c>
      <c r="L191" t="n">
        <v>0</v>
      </c>
      <c r="M191" t="n">
        <v>0</v>
      </c>
      <c r="N191" t="n">
        <v>0</v>
      </c>
      <c r="O191" t="n">
        <v>0</v>
      </c>
      <c r="P191" t="n">
        <v>0</v>
      </c>
      <c r="Q191" t="n">
        <v>0</v>
      </c>
      <c r="R191" s="2" t="inlineStr"/>
    </row>
    <row r="192" ht="15" customHeight="1">
      <c r="A192" t="inlineStr">
        <is>
          <t>A 62168-2018</t>
        </is>
      </c>
      <c r="B192" s="1" t="n">
        <v>43425</v>
      </c>
      <c r="C192" s="1" t="n">
        <v>45213</v>
      </c>
      <c r="D192" t="inlineStr">
        <is>
          <t>GOTLANDS LÄN</t>
        </is>
      </c>
      <c r="E192" t="inlineStr">
        <is>
          <t>GOTLAND</t>
        </is>
      </c>
      <c r="G192" t="n">
        <v>4</v>
      </c>
      <c r="H192" t="n">
        <v>0</v>
      </c>
      <c r="I192" t="n">
        <v>0</v>
      </c>
      <c r="J192" t="n">
        <v>0</v>
      </c>
      <c r="K192" t="n">
        <v>0</v>
      </c>
      <c r="L192" t="n">
        <v>0</v>
      </c>
      <c r="M192" t="n">
        <v>0</v>
      </c>
      <c r="N192" t="n">
        <v>0</v>
      </c>
      <c r="O192" t="n">
        <v>0</v>
      </c>
      <c r="P192" t="n">
        <v>0</v>
      </c>
      <c r="Q192" t="n">
        <v>0</v>
      </c>
      <c r="R192" s="2" t="inlineStr"/>
    </row>
    <row r="193" ht="15" customHeight="1">
      <c r="A193" t="inlineStr">
        <is>
          <t>A 62578-2018</t>
        </is>
      </c>
      <c r="B193" s="1" t="n">
        <v>43426</v>
      </c>
      <c r="C193" s="1" t="n">
        <v>45213</v>
      </c>
      <c r="D193" t="inlineStr">
        <is>
          <t>GOTLANDS LÄN</t>
        </is>
      </c>
      <c r="E193" t="inlineStr">
        <is>
          <t>GOTLAND</t>
        </is>
      </c>
      <c r="G193" t="n">
        <v>1.5</v>
      </c>
      <c r="H193" t="n">
        <v>0</v>
      </c>
      <c r="I193" t="n">
        <v>0</v>
      </c>
      <c r="J193" t="n">
        <v>0</v>
      </c>
      <c r="K193" t="n">
        <v>0</v>
      </c>
      <c r="L193" t="n">
        <v>0</v>
      </c>
      <c r="M193" t="n">
        <v>0</v>
      </c>
      <c r="N193" t="n">
        <v>0</v>
      </c>
      <c r="O193" t="n">
        <v>0</v>
      </c>
      <c r="P193" t="n">
        <v>0</v>
      </c>
      <c r="Q193" t="n">
        <v>0</v>
      </c>
      <c r="R193" s="2" t="inlineStr"/>
    </row>
    <row r="194" ht="15" customHeight="1">
      <c r="A194" t="inlineStr">
        <is>
          <t>A 63311-2018</t>
        </is>
      </c>
      <c r="B194" s="1" t="n">
        <v>43427</v>
      </c>
      <c r="C194" s="1" t="n">
        <v>45213</v>
      </c>
      <c r="D194" t="inlineStr">
        <is>
          <t>GOTLANDS LÄN</t>
        </is>
      </c>
      <c r="E194" t="inlineStr">
        <is>
          <t>GOTLAND</t>
        </is>
      </c>
      <c r="G194" t="n">
        <v>3.9</v>
      </c>
      <c r="H194" t="n">
        <v>0</v>
      </c>
      <c r="I194" t="n">
        <v>0</v>
      </c>
      <c r="J194" t="n">
        <v>0</v>
      </c>
      <c r="K194" t="n">
        <v>0</v>
      </c>
      <c r="L194" t="n">
        <v>0</v>
      </c>
      <c r="M194" t="n">
        <v>0</v>
      </c>
      <c r="N194" t="n">
        <v>0</v>
      </c>
      <c r="O194" t="n">
        <v>0</v>
      </c>
      <c r="P194" t="n">
        <v>0</v>
      </c>
      <c r="Q194" t="n">
        <v>0</v>
      </c>
      <c r="R194" s="2" t="inlineStr"/>
    </row>
    <row r="195" ht="15" customHeight="1">
      <c r="A195" t="inlineStr">
        <is>
          <t>A 63319-2018</t>
        </is>
      </c>
      <c r="B195" s="1" t="n">
        <v>43427</v>
      </c>
      <c r="C195" s="1" t="n">
        <v>45213</v>
      </c>
      <c r="D195" t="inlineStr">
        <is>
          <t>GOTLANDS LÄN</t>
        </is>
      </c>
      <c r="E195" t="inlineStr">
        <is>
          <t>GOTLAND</t>
        </is>
      </c>
      <c r="G195" t="n">
        <v>2.9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45213</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45213</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45213</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45213</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45213</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45213</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45213</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45213</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45213</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45213</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45213</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45213</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45213</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45213</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45213</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45213</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45213</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45213</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45213</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45213</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45213</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45213</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45213</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45213</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45213</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45213</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45213</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45213</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45213</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45213</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45213</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45213</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45213</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45213</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45213</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45213</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45213</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45213</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45213</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45213</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45213</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45213</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45213</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45213</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45213</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45213</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45213</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45213</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45213</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45213</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45213</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45213</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45213</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45213</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45213</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45213</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45213</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45213</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45213</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45213</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45213</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45213</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45213</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45213</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45213</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45213</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45213</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45213</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45213</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45213</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45213</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45213</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45213</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45213</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45213</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45213</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45213</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45213</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45213</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45213</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45213</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45213</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45213</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45213</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45213</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45213</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45213</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45213</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45213</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45213</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45213</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45213</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45213</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45213</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45213</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45213</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45213</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45213</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45213</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45213</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45213</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45213</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45213</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45213</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45213</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45213</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45213</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45213</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45213</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45213</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45213</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45213</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45213</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45213</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45213</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45213</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45213</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45213</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45213</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45213</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45213</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45213</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45213</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45213</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45213</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45213</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45213</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45213</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45213</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45213</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45213</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45213</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45213</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45213</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45213</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45213</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45213</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45213</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45213</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45213</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45213</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45213</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45213</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45213</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45213</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45213</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45213</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45213</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45213</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45213</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45213</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45213</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45213</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45213</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45213</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45213</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45213</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45213</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45213</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45213</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45213</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45213</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45213</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45213</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45213</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45213</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45213</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45213</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45213</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45213</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45213</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45213</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45213</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45213</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45213</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45213</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45213</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45213</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45213</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45213</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45213</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45213</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45213</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45213</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45213</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45213</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45213</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45213</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45213</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45213</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45213</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45213</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45213</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45213</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45213</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45213</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45213</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45213</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45213</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45213</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45213</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45213</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45213</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45213</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45213</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45213</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45213</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45213</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45213</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45213</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45213</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45213</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45213</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45213</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45213</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45213</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45213</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45213</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45213</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45213</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45213</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45213</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45213</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45213</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45213</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45213</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45213</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45213</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45213</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45213</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45213</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45213</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45213</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45213</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45213</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45213</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45213</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45213</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45213</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45213</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45213</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45213</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45213</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45213</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45213</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45213</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45213</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45213</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45213</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45213</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45213</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45213</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45213</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45213</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45213</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45213</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45213</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45213</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45213</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45213</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45213</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45213</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45213</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45213</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45213</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45213</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45213</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45213</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45213</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45213</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45213</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45213</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45213</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45213</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45213</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45213</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45213</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45213</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45213</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45213</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45213</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45213</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45213</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45213</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45213</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45213</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45213</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45213</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45213</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45213</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45213</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45213</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45213</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45213</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45213</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45213</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45213</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45213</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45213</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45213</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45213</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45213</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45213</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45213</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45213</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45213</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45213</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45213</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45213</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45213</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45213</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45213</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45213</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45213</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45213</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45213</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45213</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45213</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45213</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45213</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45213</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45213</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45213</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45213</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45213</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45213</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45213</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45213</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45213</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45213</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45213</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45213</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45213</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45213</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45213</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45213</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45213</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45213</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45213</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45213</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45213</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2023-10-14T07:26:02Z</dcterms:created>
  <dcterms:modified xmlns:dcterms="http://purl.org/dc/terms/" xmlns:xsi="http://www.w3.org/2001/XMLSchema-instance" xsi:type="dcterms:W3CDTF">2023-10-14T07:26:03Z</dcterms:modified>
</cp:coreProperties>
</file>