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45224</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45224</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45224</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45224</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45224</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45224</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45224</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45224</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45224</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45224</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45224</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45224</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45224</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45224</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45224</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45224</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45224</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45224</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45224</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45224</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45224</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45224</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45224</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45224</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45224</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45224</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45224</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45224</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45224</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45224</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45224</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45224</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45224</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45224</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45224</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45224</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45224</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45224</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45224</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45224</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45224</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13990-2020</t>
        </is>
      </c>
      <c r="B43" s="1" t="n">
        <v>43906</v>
      </c>
      <c r="C43" s="1" t="n">
        <v>45224</v>
      </c>
      <c r="D43" t="inlineStr">
        <is>
          <t>GOTLANDS LÄN</t>
        </is>
      </c>
      <c r="E43" t="inlineStr">
        <is>
          <t>GOTLAND</t>
        </is>
      </c>
      <c r="F43" t="inlineStr">
        <is>
          <t>Övriga Aktiebolag</t>
        </is>
      </c>
      <c r="G43" t="n">
        <v>2.3</v>
      </c>
      <c r="H43" t="n">
        <v>1</v>
      </c>
      <c r="I43" t="n">
        <v>2</v>
      </c>
      <c r="J43" t="n">
        <v>0</v>
      </c>
      <c r="K43" t="n">
        <v>1</v>
      </c>
      <c r="L43" t="n">
        <v>2</v>
      </c>
      <c r="M43" t="n">
        <v>0</v>
      </c>
      <c r="N43" t="n">
        <v>0</v>
      </c>
      <c r="O43" t="n">
        <v>3</v>
      </c>
      <c r="P43" t="n">
        <v>3</v>
      </c>
      <c r="Q43" t="n">
        <v>5</v>
      </c>
      <c r="R43" s="2" t="inlineStr">
        <is>
          <t>Norsk belonia
Ädellav
Gulbrunt nejlikfly
Nästrot
Rikfruktig blemlav</t>
        </is>
      </c>
      <c r="S43">
        <f>HYPERLINK("https://klasma.github.io/Logging_0980/artfynd/A 13990-2020 artfynd.xlsx", "A 13990-2020")</f>
        <v/>
      </c>
      <c r="T43">
        <f>HYPERLINK("https://klasma.github.io/Logging_0980/kartor/A 13990-2020 karta.png", "A 13990-2020")</f>
        <v/>
      </c>
      <c r="V43">
        <f>HYPERLINK("https://klasma.github.io/Logging_0980/klagomål/A 13990-2020 FSC-klagomål.docx", "A 13990-2020")</f>
        <v/>
      </c>
      <c r="W43">
        <f>HYPERLINK("https://klasma.github.io/Logging_0980/klagomålsmail/A 13990-2020 FSC-klagomål mail.docx", "A 13990-2020")</f>
        <v/>
      </c>
      <c r="X43">
        <f>HYPERLINK("https://klasma.github.io/Logging_0980/tillsyn/A 13990-2020 tillsynsbegäran.docx", "A 13990-2020")</f>
        <v/>
      </c>
      <c r="Y43">
        <f>HYPERLINK("https://klasma.github.io/Logging_0980/tillsynsmail/A 13990-2020 tillsynsbegäran mail.docx", "A 13990-2020")</f>
        <v/>
      </c>
    </row>
    <row r="44" ht="15" customHeight="1">
      <c r="A44" t="inlineStr">
        <is>
          <t>A 22317-2022</t>
        </is>
      </c>
      <c r="B44" s="1" t="n">
        <v>44712</v>
      </c>
      <c r="C44" s="1" t="n">
        <v>45224</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45224</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54055-2022</t>
        </is>
      </c>
      <c r="B46" s="1" t="n">
        <v>44881</v>
      </c>
      <c r="C46" s="1" t="n">
        <v>45224</v>
      </c>
      <c r="D46" t="inlineStr">
        <is>
          <t>GOTLANDS LÄN</t>
        </is>
      </c>
      <c r="E46" t="inlineStr">
        <is>
          <t>GOTLAND</t>
        </is>
      </c>
      <c r="G46" t="n">
        <v>4.6</v>
      </c>
      <c r="H46" t="n">
        <v>0</v>
      </c>
      <c r="I46" t="n">
        <v>3</v>
      </c>
      <c r="J46" t="n">
        <v>1</v>
      </c>
      <c r="K46" t="n">
        <v>1</v>
      </c>
      <c r="L46" t="n">
        <v>0</v>
      </c>
      <c r="M46" t="n">
        <v>0</v>
      </c>
      <c r="N46" t="n">
        <v>0</v>
      </c>
      <c r="O46" t="n">
        <v>2</v>
      </c>
      <c r="P46" t="n">
        <v>1</v>
      </c>
      <c r="Q46" t="n">
        <v>5</v>
      </c>
      <c r="R46" s="2" t="inlineStr">
        <is>
          <t>Duvspindling
Odörspindling
Diskvaxskivling
Kryddspindling
Olivspindling</t>
        </is>
      </c>
      <c r="S46">
        <f>HYPERLINK("https://klasma.github.io/Logging_0980/artfynd/A 54055-2022 artfynd.xlsx", "A 54055-2022")</f>
        <v/>
      </c>
      <c r="T46">
        <f>HYPERLINK("https://klasma.github.io/Logging_0980/kartor/A 54055-2022 karta.png", "A 54055-2022")</f>
        <v/>
      </c>
      <c r="V46">
        <f>HYPERLINK("https://klasma.github.io/Logging_0980/klagomål/A 54055-2022 FSC-klagomål.docx", "A 54055-2022")</f>
        <v/>
      </c>
      <c r="W46">
        <f>HYPERLINK("https://klasma.github.io/Logging_0980/klagomålsmail/A 54055-2022 FSC-klagomål mail.docx", "A 54055-2022")</f>
        <v/>
      </c>
      <c r="X46">
        <f>HYPERLINK("https://klasma.github.io/Logging_0980/tillsyn/A 54055-2022 tillsynsbegäran.docx", "A 54055-2022")</f>
        <v/>
      </c>
      <c r="Y46">
        <f>HYPERLINK("https://klasma.github.io/Logging_0980/tillsynsmail/A 54055-2022 tillsynsbegäran mail.docx", "A 54055-2022")</f>
        <v/>
      </c>
    </row>
    <row r="47" ht="15" customHeight="1">
      <c r="A47" t="inlineStr">
        <is>
          <t>A 2085-2023</t>
        </is>
      </c>
      <c r="B47" s="1" t="n">
        <v>44939</v>
      </c>
      <c r="C47" s="1" t="n">
        <v>45224</v>
      </c>
      <c r="D47" t="inlineStr">
        <is>
          <t>GOTLANDS LÄN</t>
        </is>
      </c>
      <c r="E47" t="inlineStr">
        <is>
          <t>GOTLAND</t>
        </is>
      </c>
      <c r="G47" t="n">
        <v>0.9</v>
      </c>
      <c r="H47" t="n">
        <v>1</v>
      </c>
      <c r="I47" t="n">
        <v>5</v>
      </c>
      <c r="J47" t="n">
        <v>0</v>
      </c>
      <c r="K47" t="n">
        <v>0</v>
      </c>
      <c r="L47" t="n">
        <v>0</v>
      </c>
      <c r="M47" t="n">
        <v>0</v>
      </c>
      <c r="N47" t="n">
        <v>0</v>
      </c>
      <c r="O47" t="n">
        <v>0</v>
      </c>
      <c r="P47" t="n">
        <v>0</v>
      </c>
      <c r="Q47" t="n">
        <v>5</v>
      </c>
      <c r="R47" s="2" t="inlineStr">
        <is>
          <t>Blå slemspindling
Blåmossa
Kattfotslav
Skogsknipprot
Vågbandad barkbock</t>
        </is>
      </c>
      <c r="S47">
        <f>HYPERLINK("https://klasma.github.io/Logging_0980/artfynd/A 2085-2023 artfynd.xlsx", "A 2085-2023")</f>
        <v/>
      </c>
      <c r="T47">
        <f>HYPERLINK("https://klasma.github.io/Logging_0980/kartor/A 2085-2023 karta.png", "A 2085-2023")</f>
        <v/>
      </c>
      <c r="V47">
        <f>HYPERLINK("https://klasma.github.io/Logging_0980/klagomål/A 2085-2023 FSC-klagomål.docx", "A 2085-2023")</f>
        <v/>
      </c>
      <c r="W47">
        <f>HYPERLINK("https://klasma.github.io/Logging_0980/klagomålsmail/A 2085-2023 FSC-klagomål mail.docx", "A 2085-2023")</f>
        <v/>
      </c>
      <c r="X47">
        <f>HYPERLINK("https://klasma.github.io/Logging_0980/tillsyn/A 2085-2023 tillsynsbegäran.docx", "A 2085-2023")</f>
        <v/>
      </c>
      <c r="Y47">
        <f>HYPERLINK("https://klasma.github.io/Logging_0980/tillsynsmail/A 2085-2023 tillsynsbegäran mail.docx", "A 2085-2023")</f>
        <v/>
      </c>
    </row>
    <row r="48" ht="15" customHeight="1">
      <c r="A48" t="inlineStr">
        <is>
          <t>A 63319-2018</t>
        </is>
      </c>
      <c r="B48" s="1" t="n">
        <v>43427</v>
      </c>
      <c r="C48" s="1" t="n">
        <v>45224</v>
      </c>
      <c r="D48" t="inlineStr">
        <is>
          <t>GOTLANDS LÄN</t>
        </is>
      </c>
      <c r="E48" t="inlineStr">
        <is>
          <t>GOTLAND</t>
        </is>
      </c>
      <c r="G48" t="n">
        <v>2.9</v>
      </c>
      <c r="H48" t="n">
        <v>0</v>
      </c>
      <c r="I48" t="n">
        <v>2</v>
      </c>
      <c r="J48" t="n">
        <v>1</v>
      </c>
      <c r="K48" t="n">
        <v>1</v>
      </c>
      <c r="L48" t="n">
        <v>0</v>
      </c>
      <c r="M48" t="n">
        <v>0</v>
      </c>
      <c r="N48" t="n">
        <v>0</v>
      </c>
      <c r="O48" t="n">
        <v>2</v>
      </c>
      <c r="P48" t="n">
        <v>1</v>
      </c>
      <c r="Q48" t="n">
        <v>4</v>
      </c>
      <c r="R48" s="2" t="inlineStr">
        <is>
          <t>Stor odörspindling
Odörspindling
Anisspindling
Blå slemspindling</t>
        </is>
      </c>
      <c r="S48">
        <f>HYPERLINK("https://klasma.github.io/Logging_0980/artfynd/A 63319-2018 artfynd.xlsx", "A 63319-2018")</f>
        <v/>
      </c>
      <c r="T48">
        <f>HYPERLINK("https://klasma.github.io/Logging_0980/kartor/A 63319-2018 karta.png", "A 63319-2018")</f>
        <v/>
      </c>
      <c r="V48">
        <f>HYPERLINK("https://klasma.github.io/Logging_0980/klagomål/A 63319-2018 FSC-klagomål.docx", "A 63319-2018")</f>
        <v/>
      </c>
      <c r="W48">
        <f>HYPERLINK("https://klasma.github.io/Logging_0980/klagomålsmail/A 63319-2018 FSC-klagomål mail.docx", "A 63319-2018")</f>
        <v/>
      </c>
      <c r="X48">
        <f>HYPERLINK("https://klasma.github.io/Logging_0980/tillsyn/A 63319-2018 tillsynsbegäran.docx", "A 63319-2018")</f>
        <v/>
      </c>
      <c r="Y48">
        <f>HYPERLINK("https://klasma.github.io/Logging_0980/tillsynsmail/A 63319-2018 tillsynsbegäran mail.docx", "A 63319-2018")</f>
        <v/>
      </c>
    </row>
    <row r="49" ht="15" customHeight="1">
      <c r="A49" t="inlineStr">
        <is>
          <t>A 8246-2019</t>
        </is>
      </c>
      <c r="B49" s="1" t="n">
        <v>43501</v>
      </c>
      <c r="C49" s="1" t="n">
        <v>45224</v>
      </c>
      <c r="D49" t="inlineStr">
        <is>
          <t>GOTLANDS LÄN</t>
        </is>
      </c>
      <c r="E49" t="inlineStr">
        <is>
          <t>GOTLAND</t>
        </is>
      </c>
      <c r="G49" t="n">
        <v>6.6</v>
      </c>
      <c r="H49" t="n">
        <v>0</v>
      </c>
      <c r="I49" t="n">
        <v>4</v>
      </c>
      <c r="J49" t="n">
        <v>0</v>
      </c>
      <c r="K49" t="n">
        <v>0</v>
      </c>
      <c r="L49" t="n">
        <v>0</v>
      </c>
      <c r="M49" t="n">
        <v>0</v>
      </c>
      <c r="N49" t="n">
        <v>0</v>
      </c>
      <c r="O49" t="n">
        <v>0</v>
      </c>
      <c r="P49" t="n">
        <v>0</v>
      </c>
      <c r="Q49" t="n">
        <v>4</v>
      </c>
      <c r="R49" s="2" t="inlineStr">
        <is>
          <t>Blåmossa
Granbarkgnagare
Kattfotslav
Stor revmossa</t>
        </is>
      </c>
      <c r="S49">
        <f>HYPERLINK("https://klasma.github.io/Logging_0980/artfynd/A 8246-2019 artfynd.xlsx", "A 8246-2019")</f>
        <v/>
      </c>
      <c r="T49">
        <f>HYPERLINK("https://klasma.github.io/Logging_0980/kartor/A 8246-2019 karta.png", "A 8246-2019")</f>
        <v/>
      </c>
      <c r="V49">
        <f>HYPERLINK("https://klasma.github.io/Logging_0980/klagomål/A 8246-2019 FSC-klagomål.docx", "A 8246-2019")</f>
        <v/>
      </c>
      <c r="W49">
        <f>HYPERLINK("https://klasma.github.io/Logging_0980/klagomålsmail/A 8246-2019 FSC-klagomål mail.docx", "A 8246-2019")</f>
        <v/>
      </c>
      <c r="X49">
        <f>HYPERLINK("https://klasma.github.io/Logging_0980/tillsyn/A 8246-2019 tillsynsbegäran.docx", "A 8246-2019")</f>
        <v/>
      </c>
      <c r="Y49">
        <f>HYPERLINK("https://klasma.github.io/Logging_0980/tillsynsmail/A 8246-2019 tillsynsbegäran mail.docx", "A 8246-2019")</f>
        <v/>
      </c>
    </row>
    <row r="50" ht="15" customHeight="1">
      <c r="A50" t="inlineStr">
        <is>
          <t>A 21537-2019</t>
        </is>
      </c>
      <c r="B50" s="1" t="n">
        <v>43580</v>
      </c>
      <c r="C50" s="1" t="n">
        <v>45224</v>
      </c>
      <c r="D50" t="inlineStr">
        <is>
          <t>GOTLANDS LÄN</t>
        </is>
      </c>
      <c r="E50" t="inlineStr">
        <is>
          <t>GOTLAND</t>
        </is>
      </c>
      <c r="G50" t="n">
        <v>5.3</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HYPERLINK("https://klasma.github.io/Logging_0980/artfynd/A 21537-2019 artfynd.xlsx", "A 21537-2019")</f>
        <v/>
      </c>
      <c r="T50">
        <f>HYPERLINK("https://klasma.github.io/Logging_0980/kartor/A 21537-2019 karta.png", "A 21537-2019")</f>
        <v/>
      </c>
      <c r="V50">
        <f>HYPERLINK("https://klasma.github.io/Logging_0980/klagomål/A 21537-2019 FSC-klagomål.docx", "A 21537-2019")</f>
        <v/>
      </c>
      <c r="W50">
        <f>HYPERLINK("https://klasma.github.io/Logging_0980/klagomålsmail/A 21537-2019 FSC-klagomål mail.docx", "A 21537-2019")</f>
        <v/>
      </c>
      <c r="X50">
        <f>HYPERLINK("https://klasma.github.io/Logging_0980/tillsyn/A 21537-2019 tillsynsbegäran.docx", "A 21537-2019")</f>
        <v/>
      </c>
      <c r="Y50">
        <f>HYPERLINK("https://klasma.github.io/Logging_0980/tillsynsmail/A 21537-2019 tillsynsbegäran mail.docx", "A 21537-2019")</f>
        <v/>
      </c>
    </row>
    <row r="51" ht="15" customHeight="1">
      <c r="A51" t="inlineStr">
        <is>
          <t>A 39839-2019</t>
        </is>
      </c>
      <c r="B51" s="1" t="n">
        <v>43689</v>
      </c>
      <c r="C51" s="1" t="n">
        <v>45224</v>
      </c>
      <c r="D51" t="inlineStr">
        <is>
          <t>GOTLANDS LÄN</t>
        </is>
      </c>
      <c r="E51" t="inlineStr">
        <is>
          <t>GOTLAND</t>
        </is>
      </c>
      <c r="G51" t="n">
        <v>18.9</v>
      </c>
      <c r="H51" t="n">
        <v>1</v>
      </c>
      <c r="I51" t="n">
        <v>1</v>
      </c>
      <c r="J51" t="n">
        <v>3</v>
      </c>
      <c r="K51" t="n">
        <v>0</v>
      </c>
      <c r="L51" t="n">
        <v>0</v>
      </c>
      <c r="M51" t="n">
        <v>0</v>
      </c>
      <c r="N51" t="n">
        <v>0</v>
      </c>
      <c r="O51" t="n">
        <v>3</v>
      </c>
      <c r="P51" t="n">
        <v>0</v>
      </c>
      <c r="Q51" t="n">
        <v>4</v>
      </c>
      <c r="R51" s="2" t="inlineStr">
        <is>
          <t>Apollofjäril
Hårig blombock
Sexfläckig bastardsvärmare
Åttafläckig praktbagge</t>
        </is>
      </c>
      <c r="S51">
        <f>HYPERLINK("https://klasma.github.io/Logging_0980/artfynd/A 39839-2019 artfynd.xlsx", "A 39839-2019")</f>
        <v/>
      </c>
      <c r="T51">
        <f>HYPERLINK("https://klasma.github.io/Logging_0980/kartor/A 39839-2019 karta.png", "A 39839-2019")</f>
        <v/>
      </c>
      <c r="V51">
        <f>HYPERLINK("https://klasma.github.io/Logging_0980/klagomål/A 39839-2019 FSC-klagomål.docx", "A 39839-2019")</f>
        <v/>
      </c>
      <c r="W51">
        <f>HYPERLINK("https://klasma.github.io/Logging_0980/klagomålsmail/A 39839-2019 FSC-klagomål mail.docx", "A 39839-2019")</f>
        <v/>
      </c>
      <c r="X51">
        <f>HYPERLINK("https://klasma.github.io/Logging_0980/tillsyn/A 39839-2019 tillsynsbegäran.docx", "A 39839-2019")</f>
        <v/>
      </c>
      <c r="Y51">
        <f>HYPERLINK("https://klasma.github.io/Logging_0980/tillsynsmail/A 39839-2019 tillsynsbegäran mail.docx", "A 39839-2019")</f>
        <v/>
      </c>
    </row>
    <row r="52" ht="15" customHeight="1">
      <c r="A52" t="inlineStr">
        <is>
          <t>A 64378-2020</t>
        </is>
      </c>
      <c r="B52" s="1" t="n">
        <v>44168</v>
      </c>
      <c r="C52" s="1" t="n">
        <v>45224</v>
      </c>
      <c r="D52" t="inlineStr">
        <is>
          <t>GOTLANDS LÄN</t>
        </is>
      </c>
      <c r="E52" t="inlineStr">
        <is>
          <t>GOTLAND</t>
        </is>
      </c>
      <c r="G52" t="n">
        <v>2.1</v>
      </c>
      <c r="H52" t="n">
        <v>0</v>
      </c>
      <c r="I52" t="n">
        <v>1</v>
      </c>
      <c r="J52" t="n">
        <v>0</v>
      </c>
      <c r="K52" t="n">
        <v>2</v>
      </c>
      <c r="L52" t="n">
        <v>1</v>
      </c>
      <c r="M52" t="n">
        <v>0</v>
      </c>
      <c r="N52" t="n">
        <v>0</v>
      </c>
      <c r="O52" t="n">
        <v>3</v>
      </c>
      <c r="P52" t="n">
        <v>3</v>
      </c>
      <c r="Q52" t="n">
        <v>4</v>
      </c>
      <c r="R52" s="2" t="inlineStr">
        <is>
          <t>Sienamusseron
Bitter taggsvamp
Duvspindling
Fjällig taggsvamp s.str.</t>
        </is>
      </c>
      <c r="S52">
        <f>HYPERLINK("https://klasma.github.io/Logging_0980/artfynd/A 64378-2020 artfynd.xlsx", "A 64378-2020")</f>
        <v/>
      </c>
      <c r="T52">
        <f>HYPERLINK("https://klasma.github.io/Logging_0980/kartor/A 64378-2020 karta.png", "A 64378-2020")</f>
        <v/>
      </c>
      <c r="V52">
        <f>HYPERLINK("https://klasma.github.io/Logging_0980/klagomål/A 64378-2020 FSC-klagomål.docx", "A 64378-2020")</f>
        <v/>
      </c>
      <c r="W52">
        <f>HYPERLINK("https://klasma.github.io/Logging_0980/klagomålsmail/A 64378-2020 FSC-klagomål mail.docx", "A 64378-2020")</f>
        <v/>
      </c>
      <c r="X52">
        <f>HYPERLINK("https://klasma.github.io/Logging_0980/tillsyn/A 64378-2020 tillsynsbegäran.docx", "A 64378-2020")</f>
        <v/>
      </c>
      <c r="Y52">
        <f>HYPERLINK("https://klasma.github.io/Logging_0980/tillsynsmail/A 64378-2020 tillsynsbegäran mail.docx", "A 64378-2020")</f>
        <v/>
      </c>
    </row>
    <row r="53" ht="15" customHeight="1">
      <c r="A53" t="inlineStr">
        <is>
          <t>A 2223-2021</t>
        </is>
      </c>
      <c r="B53" s="1" t="n">
        <v>44211</v>
      </c>
      <c r="C53" s="1" t="n">
        <v>45224</v>
      </c>
      <c r="D53" t="inlineStr">
        <is>
          <t>GOTLANDS LÄN</t>
        </is>
      </c>
      <c r="E53" t="inlineStr">
        <is>
          <t>GOTLAND</t>
        </is>
      </c>
      <c r="G53" t="n">
        <v>2.2</v>
      </c>
      <c r="H53" t="n">
        <v>2</v>
      </c>
      <c r="I53" t="n">
        <v>4</v>
      </c>
      <c r="J53" t="n">
        <v>0</v>
      </c>
      <c r="K53" t="n">
        <v>0</v>
      </c>
      <c r="L53" t="n">
        <v>0</v>
      </c>
      <c r="M53" t="n">
        <v>0</v>
      </c>
      <c r="N53" t="n">
        <v>0</v>
      </c>
      <c r="O53" t="n">
        <v>0</v>
      </c>
      <c r="P53" t="n">
        <v>0</v>
      </c>
      <c r="Q53" t="n">
        <v>4</v>
      </c>
      <c r="R53" s="2" t="inlineStr">
        <is>
          <t>Blåmossa
Granbarkgnagare
Nästrot
Tvåblad</t>
        </is>
      </c>
      <c r="S53">
        <f>HYPERLINK("https://klasma.github.io/Logging_0980/artfynd/A 2223-2021 artfynd.xlsx", "A 2223-2021")</f>
        <v/>
      </c>
      <c r="T53">
        <f>HYPERLINK("https://klasma.github.io/Logging_0980/kartor/A 2223-2021 karta.png", "A 2223-2021")</f>
        <v/>
      </c>
      <c r="V53">
        <f>HYPERLINK("https://klasma.github.io/Logging_0980/klagomål/A 2223-2021 FSC-klagomål.docx", "A 2223-2021")</f>
        <v/>
      </c>
      <c r="W53">
        <f>HYPERLINK("https://klasma.github.io/Logging_0980/klagomålsmail/A 2223-2021 FSC-klagomål mail.docx", "A 2223-2021")</f>
        <v/>
      </c>
      <c r="X53">
        <f>HYPERLINK("https://klasma.github.io/Logging_0980/tillsyn/A 2223-2021 tillsynsbegäran.docx", "A 2223-2021")</f>
        <v/>
      </c>
      <c r="Y53">
        <f>HYPERLINK("https://klasma.github.io/Logging_0980/tillsynsmail/A 2223-2021 tillsynsbegäran mail.docx", "A 2223-2021")</f>
        <v/>
      </c>
    </row>
    <row r="54" ht="15" customHeight="1">
      <c r="A54" t="inlineStr">
        <is>
          <t>A 29331-2021</t>
        </is>
      </c>
      <c r="B54" s="1" t="n">
        <v>44361</v>
      </c>
      <c r="C54" s="1" t="n">
        <v>45224</v>
      </c>
      <c r="D54" t="inlineStr">
        <is>
          <t>GOTLANDS LÄN</t>
        </is>
      </c>
      <c r="E54" t="inlineStr">
        <is>
          <t>GOTLAND</t>
        </is>
      </c>
      <c r="G54" t="n">
        <v>3.7</v>
      </c>
      <c r="H54" t="n">
        <v>1</v>
      </c>
      <c r="I54" t="n">
        <v>4</v>
      </c>
      <c r="J54" t="n">
        <v>0</v>
      </c>
      <c r="K54" t="n">
        <v>0</v>
      </c>
      <c r="L54" t="n">
        <v>0</v>
      </c>
      <c r="M54" t="n">
        <v>0</v>
      </c>
      <c r="N54" t="n">
        <v>0</v>
      </c>
      <c r="O54" t="n">
        <v>0</v>
      </c>
      <c r="P54" t="n">
        <v>0</v>
      </c>
      <c r="Q54" t="n">
        <v>4</v>
      </c>
      <c r="R54" s="2" t="inlineStr">
        <is>
          <t>Blåmossa
Granbarkgnagare
Kattfotslav
Tvåblad</t>
        </is>
      </c>
      <c r="S54">
        <f>HYPERLINK("https://klasma.github.io/Logging_0980/artfynd/A 29331-2021 artfynd.xlsx", "A 29331-2021")</f>
        <v/>
      </c>
      <c r="T54">
        <f>HYPERLINK("https://klasma.github.io/Logging_0980/kartor/A 29331-2021 karta.png", "A 29331-2021")</f>
        <v/>
      </c>
      <c r="V54">
        <f>HYPERLINK("https://klasma.github.io/Logging_0980/klagomål/A 29331-2021 FSC-klagomål.docx", "A 29331-2021")</f>
        <v/>
      </c>
      <c r="W54">
        <f>HYPERLINK("https://klasma.github.io/Logging_0980/klagomålsmail/A 29331-2021 FSC-klagomål mail.docx", "A 29331-2021")</f>
        <v/>
      </c>
      <c r="X54">
        <f>HYPERLINK("https://klasma.github.io/Logging_0980/tillsyn/A 29331-2021 tillsynsbegäran.docx", "A 29331-2021")</f>
        <v/>
      </c>
      <c r="Y54">
        <f>HYPERLINK("https://klasma.github.io/Logging_0980/tillsynsmail/A 29331-2021 tillsynsbegäran mail.docx", "A 29331-2021")</f>
        <v/>
      </c>
    </row>
    <row r="55" ht="15" customHeight="1">
      <c r="A55" t="inlineStr">
        <is>
          <t>A 44933-2022</t>
        </is>
      </c>
      <c r="B55" s="1" t="n">
        <v>44841</v>
      </c>
      <c r="C55" s="1" t="n">
        <v>45224</v>
      </c>
      <c r="D55" t="inlineStr">
        <is>
          <t>GOTLANDS LÄN</t>
        </is>
      </c>
      <c r="E55" t="inlineStr">
        <is>
          <t>GOTLAND</t>
        </is>
      </c>
      <c r="G55" t="n">
        <v>4.5</v>
      </c>
      <c r="H55" t="n">
        <v>1</v>
      </c>
      <c r="I55" t="n">
        <v>2</v>
      </c>
      <c r="J55" t="n">
        <v>2</v>
      </c>
      <c r="K55" t="n">
        <v>0</v>
      </c>
      <c r="L55" t="n">
        <v>0</v>
      </c>
      <c r="M55" t="n">
        <v>0</v>
      </c>
      <c r="N55" t="n">
        <v>0</v>
      </c>
      <c r="O55" t="n">
        <v>2</v>
      </c>
      <c r="P55" t="n">
        <v>0</v>
      </c>
      <c r="Q55" t="n">
        <v>4</v>
      </c>
      <c r="R55" s="2" t="inlineStr">
        <is>
          <t>Ekvaxskivling
Odörspindling
Skarp dropptaggsvamp
Skogsknipprot</t>
        </is>
      </c>
      <c r="S55">
        <f>HYPERLINK("https://klasma.github.io/Logging_0980/artfynd/A 44933-2022 artfynd.xlsx", "A 44933-2022")</f>
        <v/>
      </c>
      <c r="T55">
        <f>HYPERLINK("https://klasma.github.io/Logging_0980/kartor/A 44933-2022 karta.png", "A 44933-2022")</f>
        <v/>
      </c>
      <c r="V55">
        <f>HYPERLINK("https://klasma.github.io/Logging_0980/klagomål/A 44933-2022 FSC-klagomål.docx", "A 44933-2022")</f>
        <v/>
      </c>
      <c r="W55">
        <f>HYPERLINK("https://klasma.github.io/Logging_0980/klagomålsmail/A 44933-2022 FSC-klagomål mail.docx", "A 44933-2022")</f>
        <v/>
      </c>
      <c r="X55">
        <f>HYPERLINK("https://klasma.github.io/Logging_0980/tillsyn/A 44933-2022 tillsynsbegäran.docx", "A 44933-2022")</f>
        <v/>
      </c>
      <c r="Y55">
        <f>HYPERLINK("https://klasma.github.io/Logging_0980/tillsynsmail/A 44933-2022 tillsynsbegäran mail.docx", "A 44933-2022")</f>
        <v/>
      </c>
    </row>
    <row r="56" ht="15" customHeight="1">
      <c r="A56" t="inlineStr">
        <is>
          <t>A 47526-2022</t>
        </is>
      </c>
      <c r="B56" s="1" t="n">
        <v>44853</v>
      </c>
      <c r="C56" s="1" t="n">
        <v>45224</v>
      </c>
      <c r="D56" t="inlineStr">
        <is>
          <t>GOTLANDS LÄN</t>
        </is>
      </c>
      <c r="E56" t="inlineStr">
        <is>
          <t>GOTLAND</t>
        </is>
      </c>
      <c r="G56" t="n">
        <v>9.800000000000001</v>
      </c>
      <c r="H56" t="n">
        <v>3</v>
      </c>
      <c r="I56" t="n">
        <v>0</v>
      </c>
      <c r="J56" t="n">
        <v>2</v>
      </c>
      <c r="K56" t="n">
        <v>0</v>
      </c>
      <c r="L56" t="n">
        <v>0</v>
      </c>
      <c r="M56" t="n">
        <v>0</v>
      </c>
      <c r="N56" t="n">
        <v>0</v>
      </c>
      <c r="O56" t="n">
        <v>2</v>
      </c>
      <c r="P56" t="n">
        <v>0</v>
      </c>
      <c r="Q56" t="n">
        <v>4</v>
      </c>
      <c r="R56" s="2" t="inlineStr">
        <is>
          <t>Dårgräsfjäril
Svinrot
Sankt pers nycklar
Blåsippa</t>
        </is>
      </c>
      <c r="S56">
        <f>HYPERLINK("https://klasma.github.io/Logging_0980/artfynd/A 47526-2022 artfynd.xlsx", "A 47526-2022")</f>
        <v/>
      </c>
      <c r="T56">
        <f>HYPERLINK("https://klasma.github.io/Logging_0980/kartor/A 47526-2022 karta.png", "A 47526-2022")</f>
        <v/>
      </c>
      <c r="V56">
        <f>HYPERLINK("https://klasma.github.io/Logging_0980/klagomål/A 47526-2022 FSC-klagomål.docx", "A 47526-2022")</f>
        <v/>
      </c>
      <c r="W56">
        <f>HYPERLINK("https://klasma.github.io/Logging_0980/klagomålsmail/A 47526-2022 FSC-klagomål mail.docx", "A 47526-2022")</f>
        <v/>
      </c>
      <c r="X56">
        <f>HYPERLINK("https://klasma.github.io/Logging_0980/tillsyn/A 47526-2022 tillsynsbegäran.docx", "A 47526-2022")</f>
        <v/>
      </c>
      <c r="Y56">
        <f>HYPERLINK("https://klasma.github.io/Logging_0980/tillsynsmail/A 47526-2022 tillsynsbegäran mail.docx", "A 47526-2022")</f>
        <v/>
      </c>
    </row>
    <row r="57" ht="15" customHeight="1">
      <c r="A57" t="inlineStr">
        <is>
          <t>A 186-2023</t>
        </is>
      </c>
      <c r="B57" s="1" t="n">
        <v>44928</v>
      </c>
      <c r="C57" s="1" t="n">
        <v>45224</v>
      </c>
      <c r="D57" t="inlineStr">
        <is>
          <t>GOTLANDS LÄN</t>
        </is>
      </c>
      <c r="E57" t="inlineStr">
        <is>
          <t>GOTLAND</t>
        </is>
      </c>
      <c r="G57" t="n">
        <v>2.2</v>
      </c>
      <c r="H57" t="n">
        <v>2</v>
      </c>
      <c r="I57" t="n">
        <v>2</v>
      </c>
      <c r="J57" t="n">
        <v>0</v>
      </c>
      <c r="K57" t="n">
        <v>2</v>
      </c>
      <c r="L57" t="n">
        <v>0</v>
      </c>
      <c r="M57" t="n">
        <v>0</v>
      </c>
      <c r="N57" t="n">
        <v>0</v>
      </c>
      <c r="O57" t="n">
        <v>2</v>
      </c>
      <c r="P57" t="n">
        <v>2</v>
      </c>
      <c r="Q57" t="n">
        <v>4</v>
      </c>
      <c r="R57" s="2" t="inlineStr">
        <is>
          <t>Svartgrön spindling
Vit taggsvamp
Nästrot
Skogsknipprot</t>
        </is>
      </c>
      <c r="S57">
        <f>HYPERLINK("https://klasma.github.io/Logging_0980/artfynd/A 186-2023 artfynd.xlsx", "A 186-2023")</f>
        <v/>
      </c>
      <c r="T57">
        <f>HYPERLINK("https://klasma.github.io/Logging_0980/kartor/A 186-2023 karta.png", "A 186-2023")</f>
        <v/>
      </c>
      <c r="V57">
        <f>HYPERLINK("https://klasma.github.io/Logging_0980/klagomål/A 186-2023 FSC-klagomål.docx", "A 186-2023")</f>
        <v/>
      </c>
      <c r="W57">
        <f>HYPERLINK("https://klasma.github.io/Logging_0980/klagomålsmail/A 186-2023 FSC-klagomål mail.docx", "A 186-2023")</f>
        <v/>
      </c>
      <c r="X57">
        <f>HYPERLINK("https://klasma.github.io/Logging_0980/tillsyn/A 186-2023 tillsynsbegäran.docx", "A 186-2023")</f>
        <v/>
      </c>
      <c r="Y57">
        <f>HYPERLINK("https://klasma.github.io/Logging_0980/tillsynsmail/A 186-2023 tillsynsbegäran mail.docx", "A 186-2023")</f>
        <v/>
      </c>
    </row>
    <row r="58" ht="15" customHeight="1">
      <c r="A58" t="inlineStr">
        <is>
          <t>A 445-2023</t>
        </is>
      </c>
      <c r="B58" s="1" t="n">
        <v>44929</v>
      </c>
      <c r="C58" s="1" t="n">
        <v>45224</v>
      </c>
      <c r="D58" t="inlineStr">
        <is>
          <t>GOTLANDS LÄN</t>
        </is>
      </c>
      <c r="E58" t="inlineStr">
        <is>
          <t>GOTLAND</t>
        </is>
      </c>
      <c r="G58" t="n">
        <v>4.9</v>
      </c>
      <c r="H58" t="n">
        <v>0</v>
      </c>
      <c r="I58" t="n">
        <v>1</v>
      </c>
      <c r="J58" t="n">
        <v>1</v>
      </c>
      <c r="K58" t="n">
        <v>2</v>
      </c>
      <c r="L58" t="n">
        <v>0</v>
      </c>
      <c r="M58" t="n">
        <v>0</v>
      </c>
      <c r="N58" t="n">
        <v>0</v>
      </c>
      <c r="O58" t="n">
        <v>3</v>
      </c>
      <c r="P58" t="n">
        <v>2</v>
      </c>
      <c r="Q58" t="n">
        <v>4</v>
      </c>
      <c r="R58" s="2" t="inlineStr">
        <is>
          <t>Granrotspindling
Taggfingersvamp
Jordtistel
Rödgul trumpetsvamp</t>
        </is>
      </c>
      <c r="S58">
        <f>HYPERLINK("https://klasma.github.io/Logging_0980/artfynd/A 445-2023 artfynd.xlsx", "A 445-2023")</f>
        <v/>
      </c>
      <c r="T58">
        <f>HYPERLINK("https://klasma.github.io/Logging_0980/kartor/A 445-2023 karta.png", "A 445-2023")</f>
        <v/>
      </c>
      <c r="V58">
        <f>HYPERLINK("https://klasma.github.io/Logging_0980/klagomål/A 445-2023 FSC-klagomål.docx", "A 445-2023")</f>
        <v/>
      </c>
      <c r="W58">
        <f>HYPERLINK("https://klasma.github.io/Logging_0980/klagomålsmail/A 445-2023 FSC-klagomål mail.docx", "A 445-2023")</f>
        <v/>
      </c>
      <c r="X58">
        <f>HYPERLINK("https://klasma.github.io/Logging_0980/tillsyn/A 445-2023 tillsynsbegäran.docx", "A 445-2023")</f>
        <v/>
      </c>
      <c r="Y58">
        <f>HYPERLINK("https://klasma.github.io/Logging_0980/tillsynsmail/A 445-2023 tillsynsbegäran mail.docx", "A 445-2023")</f>
        <v/>
      </c>
    </row>
    <row r="59" ht="15" customHeight="1">
      <c r="A59" t="inlineStr">
        <is>
          <t>A 584-2023</t>
        </is>
      </c>
      <c r="B59" s="1" t="n">
        <v>44930</v>
      </c>
      <c r="C59" s="1" t="n">
        <v>45224</v>
      </c>
      <c r="D59" t="inlineStr">
        <is>
          <t>GOTLANDS LÄN</t>
        </is>
      </c>
      <c r="E59" t="inlineStr">
        <is>
          <t>GOTLAND</t>
        </is>
      </c>
      <c r="G59" t="n">
        <v>27.2</v>
      </c>
      <c r="H59" t="n">
        <v>0</v>
      </c>
      <c r="I59" t="n">
        <v>2</v>
      </c>
      <c r="J59" t="n">
        <v>1</v>
      </c>
      <c r="K59" t="n">
        <v>1</v>
      </c>
      <c r="L59" t="n">
        <v>0</v>
      </c>
      <c r="M59" t="n">
        <v>0</v>
      </c>
      <c r="N59" t="n">
        <v>0</v>
      </c>
      <c r="O59" t="n">
        <v>2</v>
      </c>
      <c r="P59" t="n">
        <v>1</v>
      </c>
      <c r="Q59" t="n">
        <v>4</v>
      </c>
      <c r="R59" s="2" t="inlineStr">
        <is>
          <t>Granrotspindling
Gulfotad denisespindling
Rödgul trumpetsvamp
Vågbandad barkbock</t>
        </is>
      </c>
      <c r="S59">
        <f>HYPERLINK("https://klasma.github.io/Logging_0980/artfynd/A 584-2023 artfynd.xlsx", "A 584-2023")</f>
        <v/>
      </c>
      <c r="T59">
        <f>HYPERLINK("https://klasma.github.io/Logging_0980/kartor/A 584-2023 karta.png", "A 584-2023")</f>
        <v/>
      </c>
      <c r="V59">
        <f>HYPERLINK("https://klasma.github.io/Logging_0980/klagomål/A 584-2023 FSC-klagomål.docx", "A 584-2023")</f>
        <v/>
      </c>
      <c r="W59">
        <f>HYPERLINK("https://klasma.github.io/Logging_0980/klagomålsmail/A 584-2023 FSC-klagomål mail.docx", "A 584-2023")</f>
        <v/>
      </c>
      <c r="X59">
        <f>HYPERLINK("https://klasma.github.io/Logging_0980/tillsyn/A 584-2023 tillsynsbegäran.docx", "A 584-2023")</f>
        <v/>
      </c>
      <c r="Y59">
        <f>HYPERLINK("https://klasma.github.io/Logging_0980/tillsynsmail/A 584-2023 tillsynsbegäran mail.docx", "A 584-2023")</f>
        <v/>
      </c>
    </row>
    <row r="60" ht="15" customHeight="1">
      <c r="A60" t="inlineStr">
        <is>
          <t>A 6159-2023</t>
        </is>
      </c>
      <c r="B60" s="1" t="n">
        <v>44964</v>
      </c>
      <c r="C60" s="1" t="n">
        <v>45224</v>
      </c>
      <c r="D60" t="inlineStr">
        <is>
          <t>GOTLANDS LÄN</t>
        </is>
      </c>
      <c r="E60" t="inlineStr">
        <is>
          <t>GOTLAND</t>
        </is>
      </c>
      <c r="G60" t="n">
        <v>2</v>
      </c>
      <c r="H60" t="n">
        <v>0</v>
      </c>
      <c r="I60" t="n">
        <v>2</v>
      </c>
      <c r="J60" t="n">
        <v>2</v>
      </c>
      <c r="K60" t="n">
        <v>0</v>
      </c>
      <c r="L60" t="n">
        <v>0</v>
      </c>
      <c r="M60" t="n">
        <v>0</v>
      </c>
      <c r="N60" t="n">
        <v>0</v>
      </c>
      <c r="O60" t="n">
        <v>2</v>
      </c>
      <c r="P60" t="n">
        <v>0</v>
      </c>
      <c r="Q60" t="n">
        <v>4</v>
      </c>
      <c r="R60" s="2" t="inlineStr">
        <is>
          <t>Dofttaggsvamp
Odörspindling
Anisspindling
Olivspindling</t>
        </is>
      </c>
      <c r="S60">
        <f>HYPERLINK("https://klasma.github.io/Logging_0980/artfynd/A 6159-2023 artfynd.xlsx", "A 6159-2023")</f>
        <v/>
      </c>
      <c r="T60">
        <f>HYPERLINK("https://klasma.github.io/Logging_0980/kartor/A 6159-2023 karta.png", "A 6159-2023")</f>
        <v/>
      </c>
      <c r="V60">
        <f>HYPERLINK("https://klasma.github.io/Logging_0980/klagomål/A 6159-2023 FSC-klagomål.docx", "A 6159-2023")</f>
        <v/>
      </c>
      <c r="W60">
        <f>HYPERLINK("https://klasma.github.io/Logging_0980/klagomålsmail/A 6159-2023 FSC-klagomål mail.docx", "A 6159-2023")</f>
        <v/>
      </c>
      <c r="X60">
        <f>HYPERLINK("https://klasma.github.io/Logging_0980/tillsyn/A 6159-2023 tillsynsbegäran.docx", "A 6159-2023")</f>
        <v/>
      </c>
      <c r="Y60">
        <f>HYPERLINK("https://klasma.github.io/Logging_0980/tillsynsmail/A 6159-2023 tillsynsbegäran mail.docx", "A 6159-2023")</f>
        <v/>
      </c>
    </row>
    <row r="61" ht="15" customHeight="1">
      <c r="A61" t="inlineStr">
        <is>
          <t>A 45682-2023</t>
        </is>
      </c>
      <c r="B61" s="1" t="n">
        <v>45195</v>
      </c>
      <c r="C61" s="1" t="n">
        <v>45224</v>
      </c>
      <c r="D61" t="inlineStr">
        <is>
          <t>GOTLANDS LÄN</t>
        </is>
      </c>
      <c r="E61" t="inlineStr">
        <is>
          <t>GOTLAND</t>
        </is>
      </c>
      <c r="G61" t="n">
        <v>13.9</v>
      </c>
      <c r="H61" t="n">
        <v>2</v>
      </c>
      <c r="I61" t="n">
        <v>2</v>
      </c>
      <c r="J61" t="n">
        <v>1</v>
      </c>
      <c r="K61" t="n">
        <v>0</v>
      </c>
      <c r="L61" t="n">
        <v>0</v>
      </c>
      <c r="M61" t="n">
        <v>0</v>
      </c>
      <c r="N61" t="n">
        <v>0</v>
      </c>
      <c r="O61" t="n">
        <v>1</v>
      </c>
      <c r="P61" t="n">
        <v>0</v>
      </c>
      <c r="Q61" t="n">
        <v>4</v>
      </c>
      <c r="R61" s="2" t="inlineStr">
        <is>
          <t>Loppstarr
Flugblomster
Kalktallört
Dactylorhiza incarnata subsp. incarnata</t>
        </is>
      </c>
      <c r="S61">
        <f>HYPERLINK("https://klasma.github.io/Logging_0980/artfynd/A 45682-2023 artfynd.xlsx", "A 45682-2023")</f>
        <v/>
      </c>
      <c r="T61">
        <f>HYPERLINK("https://klasma.github.io/Logging_0980/kartor/A 45682-2023 karta.png", "A 45682-2023")</f>
        <v/>
      </c>
      <c r="V61">
        <f>HYPERLINK("https://klasma.github.io/Logging_0980/klagomål/A 45682-2023 FSC-klagomål.docx", "A 45682-2023")</f>
        <v/>
      </c>
      <c r="W61">
        <f>HYPERLINK("https://klasma.github.io/Logging_0980/klagomålsmail/A 45682-2023 FSC-klagomål mail.docx", "A 45682-2023")</f>
        <v/>
      </c>
      <c r="X61">
        <f>HYPERLINK("https://klasma.github.io/Logging_0980/tillsyn/A 45682-2023 tillsynsbegäran.docx", "A 45682-2023")</f>
        <v/>
      </c>
      <c r="Y61">
        <f>HYPERLINK("https://klasma.github.io/Logging_0980/tillsynsmail/A 45682-2023 tillsynsbegäran mail.docx", "A 45682-2023")</f>
        <v/>
      </c>
    </row>
    <row r="62" ht="15" customHeight="1">
      <c r="A62" t="inlineStr">
        <is>
          <t>A 52322-2018</t>
        </is>
      </c>
      <c r="B62" s="1" t="n">
        <v>43388</v>
      </c>
      <c r="C62" s="1" t="n">
        <v>45224</v>
      </c>
      <c r="D62" t="inlineStr">
        <is>
          <t>GOTLANDS LÄN</t>
        </is>
      </c>
      <c r="E62" t="inlineStr">
        <is>
          <t>GOTLAND</t>
        </is>
      </c>
      <c r="G62" t="n">
        <v>2.7</v>
      </c>
      <c r="H62" t="n">
        <v>0</v>
      </c>
      <c r="I62" t="n">
        <v>3</v>
      </c>
      <c r="J62" t="n">
        <v>0</v>
      </c>
      <c r="K62" t="n">
        <v>0</v>
      </c>
      <c r="L62" t="n">
        <v>0</v>
      </c>
      <c r="M62" t="n">
        <v>0</v>
      </c>
      <c r="N62" t="n">
        <v>0</v>
      </c>
      <c r="O62" t="n">
        <v>0</v>
      </c>
      <c r="P62" t="n">
        <v>0</v>
      </c>
      <c r="Q62" t="n">
        <v>3</v>
      </c>
      <c r="R62" s="2" t="inlineStr">
        <is>
          <t>Fjällig taggsvamp s.str.
Rödgul trumpetsvamp
Svavelriska</t>
        </is>
      </c>
      <c r="S62">
        <f>HYPERLINK("https://klasma.github.io/Logging_0980/artfynd/A 52322-2018 artfynd.xlsx", "A 52322-2018")</f>
        <v/>
      </c>
      <c r="T62">
        <f>HYPERLINK("https://klasma.github.io/Logging_0980/kartor/A 52322-2018 karta.png", "A 52322-2018")</f>
        <v/>
      </c>
      <c r="V62">
        <f>HYPERLINK("https://klasma.github.io/Logging_0980/klagomål/A 52322-2018 FSC-klagomål.docx", "A 52322-2018")</f>
        <v/>
      </c>
      <c r="W62">
        <f>HYPERLINK("https://klasma.github.io/Logging_0980/klagomålsmail/A 52322-2018 FSC-klagomål mail.docx", "A 52322-2018")</f>
        <v/>
      </c>
      <c r="X62">
        <f>HYPERLINK("https://klasma.github.io/Logging_0980/tillsyn/A 52322-2018 tillsynsbegäran.docx", "A 52322-2018")</f>
        <v/>
      </c>
      <c r="Y62">
        <f>HYPERLINK("https://klasma.github.io/Logging_0980/tillsynsmail/A 52322-2018 tillsynsbegäran mail.docx", "A 52322-2018")</f>
        <v/>
      </c>
    </row>
    <row r="63" ht="15" customHeight="1">
      <c r="A63" t="inlineStr">
        <is>
          <t>A 1878-2019</t>
        </is>
      </c>
      <c r="B63" s="1" t="n">
        <v>43474</v>
      </c>
      <c r="C63" s="1" t="n">
        <v>45224</v>
      </c>
      <c r="D63" t="inlineStr">
        <is>
          <t>GOTLANDS LÄN</t>
        </is>
      </c>
      <c r="E63" t="inlineStr">
        <is>
          <t>GOTLAND</t>
        </is>
      </c>
      <c r="G63" t="n">
        <v>8.6</v>
      </c>
      <c r="H63" t="n">
        <v>1</v>
      </c>
      <c r="I63" t="n">
        <v>0</v>
      </c>
      <c r="J63" t="n">
        <v>2</v>
      </c>
      <c r="K63" t="n">
        <v>0</v>
      </c>
      <c r="L63" t="n">
        <v>0</v>
      </c>
      <c r="M63" t="n">
        <v>0</v>
      </c>
      <c r="N63" t="n">
        <v>0</v>
      </c>
      <c r="O63" t="n">
        <v>2</v>
      </c>
      <c r="P63" t="n">
        <v>0</v>
      </c>
      <c r="Q63" t="n">
        <v>3</v>
      </c>
      <c r="R63" s="2" t="inlineStr">
        <is>
          <t>Jordtistel
Slåtterfibbla
Nattviol × grönvit nattviol</t>
        </is>
      </c>
      <c r="S63">
        <f>HYPERLINK("https://klasma.github.io/Logging_0980/artfynd/A 1878-2019 artfynd.xlsx", "A 1878-2019")</f>
        <v/>
      </c>
      <c r="T63">
        <f>HYPERLINK("https://klasma.github.io/Logging_0980/kartor/A 1878-2019 karta.png", "A 1878-2019")</f>
        <v/>
      </c>
      <c r="V63">
        <f>HYPERLINK("https://klasma.github.io/Logging_0980/klagomål/A 1878-2019 FSC-klagomål.docx", "A 1878-2019")</f>
        <v/>
      </c>
      <c r="W63">
        <f>HYPERLINK("https://klasma.github.io/Logging_0980/klagomålsmail/A 1878-2019 FSC-klagomål mail.docx", "A 1878-2019")</f>
        <v/>
      </c>
      <c r="X63">
        <f>HYPERLINK("https://klasma.github.io/Logging_0980/tillsyn/A 1878-2019 tillsynsbegäran.docx", "A 1878-2019")</f>
        <v/>
      </c>
      <c r="Y63">
        <f>HYPERLINK("https://klasma.github.io/Logging_0980/tillsynsmail/A 1878-2019 tillsynsbegäran mail.docx", "A 1878-2019")</f>
        <v/>
      </c>
    </row>
    <row r="64" ht="15" customHeight="1">
      <c r="A64" t="inlineStr">
        <is>
          <t>A 4045-2019</t>
        </is>
      </c>
      <c r="B64" s="1" t="n">
        <v>43482</v>
      </c>
      <c r="C64" s="1" t="n">
        <v>45224</v>
      </c>
      <c r="D64" t="inlineStr">
        <is>
          <t>GOTLANDS LÄN</t>
        </is>
      </c>
      <c r="E64" t="inlineStr">
        <is>
          <t>GOTLAND</t>
        </is>
      </c>
      <c r="G64" t="n">
        <v>13.9</v>
      </c>
      <c r="H64" t="n">
        <v>1</v>
      </c>
      <c r="I64" t="n">
        <v>0</v>
      </c>
      <c r="J64" t="n">
        <v>1</v>
      </c>
      <c r="K64" t="n">
        <v>1</v>
      </c>
      <c r="L64" t="n">
        <v>1</v>
      </c>
      <c r="M64" t="n">
        <v>0</v>
      </c>
      <c r="N64" t="n">
        <v>0</v>
      </c>
      <c r="O64" t="n">
        <v>3</v>
      </c>
      <c r="P64" t="n">
        <v>2</v>
      </c>
      <c r="Q64" t="n">
        <v>3</v>
      </c>
      <c r="R64" s="2" t="inlineStr">
        <is>
          <t>Ryl
Knärot
Tallticka</t>
        </is>
      </c>
      <c r="S64">
        <f>HYPERLINK("https://klasma.github.io/Logging_0980/artfynd/A 4045-2019 artfynd.xlsx", "A 4045-2019")</f>
        <v/>
      </c>
      <c r="T64">
        <f>HYPERLINK("https://klasma.github.io/Logging_0980/kartor/A 4045-2019 karta.png", "A 4045-2019")</f>
        <v/>
      </c>
      <c r="U64">
        <f>HYPERLINK("https://klasma.github.io/Logging_0980/knärot/A 4045-2019 karta knärot.png", "A 4045-2019")</f>
        <v/>
      </c>
      <c r="V64">
        <f>HYPERLINK("https://klasma.github.io/Logging_0980/klagomål/A 4045-2019 FSC-klagomål.docx", "A 4045-2019")</f>
        <v/>
      </c>
      <c r="W64">
        <f>HYPERLINK("https://klasma.github.io/Logging_0980/klagomålsmail/A 4045-2019 FSC-klagomål mail.docx", "A 4045-2019")</f>
        <v/>
      </c>
      <c r="X64">
        <f>HYPERLINK("https://klasma.github.io/Logging_0980/tillsyn/A 4045-2019 tillsynsbegäran.docx", "A 4045-2019")</f>
        <v/>
      </c>
      <c r="Y64">
        <f>HYPERLINK("https://klasma.github.io/Logging_0980/tillsynsmail/A 4045-2019 tillsynsbegäran mail.docx", "A 4045-2019")</f>
        <v/>
      </c>
    </row>
    <row r="65" ht="15" customHeight="1">
      <c r="A65" t="inlineStr">
        <is>
          <t>A 21897-2019</t>
        </is>
      </c>
      <c r="B65" s="1" t="n">
        <v>43584</v>
      </c>
      <c r="C65" s="1" t="n">
        <v>45224</v>
      </c>
      <c r="D65" t="inlineStr">
        <is>
          <t>GOTLANDS LÄN</t>
        </is>
      </c>
      <c r="E65" t="inlineStr">
        <is>
          <t>GOTLAND</t>
        </is>
      </c>
      <c r="G65" t="n">
        <v>7.4</v>
      </c>
      <c r="H65" t="n">
        <v>3</v>
      </c>
      <c r="I65" t="n">
        <v>1</v>
      </c>
      <c r="J65" t="n">
        <v>0</v>
      </c>
      <c r="K65" t="n">
        <v>0</v>
      </c>
      <c r="L65" t="n">
        <v>0</v>
      </c>
      <c r="M65" t="n">
        <v>0</v>
      </c>
      <c r="N65" t="n">
        <v>0</v>
      </c>
      <c r="O65" t="n">
        <v>0</v>
      </c>
      <c r="P65" t="n">
        <v>0</v>
      </c>
      <c r="Q65" t="n">
        <v>3</v>
      </c>
      <c r="R65" s="2" t="inlineStr">
        <is>
          <t>Korallrot
Nattviol
Lopplummer</t>
        </is>
      </c>
      <c r="S65">
        <f>HYPERLINK("https://klasma.github.io/Logging_0980/artfynd/A 21897-2019 artfynd.xlsx", "A 21897-2019")</f>
        <v/>
      </c>
      <c r="T65">
        <f>HYPERLINK("https://klasma.github.io/Logging_0980/kartor/A 21897-2019 karta.png", "A 21897-2019")</f>
        <v/>
      </c>
      <c r="V65">
        <f>HYPERLINK("https://klasma.github.io/Logging_0980/klagomål/A 21897-2019 FSC-klagomål.docx", "A 21897-2019")</f>
        <v/>
      </c>
      <c r="W65">
        <f>HYPERLINK("https://klasma.github.io/Logging_0980/klagomålsmail/A 21897-2019 FSC-klagomål mail.docx", "A 21897-2019")</f>
        <v/>
      </c>
      <c r="X65">
        <f>HYPERLINK("https://klasma.github.io/Logging_0980/tillsyn/A 21897-2019 tillsynsbegäran.docx", "A 21897-2019")</f>
        <v/>
      </c>
      <c r="Y65">
        <f>HYPERLINK("https://klasma.github.io/Logging_0980/tillsynsmail/A 21897-2019 tillsynsbegäran mail.docx", "A 21897-2019")</f>
        <v/>
      </c>
    </row>
    <row r="66" ht="15" customHeight="1">
      <c r="A66" t="inlineStr">
        <is>
          <t>A 66053-2019</t>
        </is>
      </c>
      <c r="B66" s="1" t="n">
        <v>43806</v>
      </c>
      <c r="C66" s="1" t="n">
        <v>45224</v>
      </c>
      <c r="D66" t="inlineStr">
        <is>
          <t>GOTLANDS LÄN</t>
        </is>
      </c>
      <c r="E66" t="inlineStr">
        <is>
          <t>GOTLAND</t>
        </is>
      </c>
      <c r="G66" t="n">
        <v>58.6</v>
      </c>
      <c r="H66" t="n">
        <v>2</v>
      </c>
      <c r="I66" t="n">
        <v>0</v>
      </c>
      <c r="J66" t="n">
        <v>1</v>
      </c>
      <c r="K66" t="n">
        <v>2</v>
      </c>
      <c r="L66" t="n">
        <v>0</v>
      </c>
      <c r="M66" t="n">
        <v>0</v>
      </c>
      <c r="N66" t="n">
        <v>0</v>
      </c>
      <c r="O66" t="n">
        <v>3</v>
      </c>
      <c r="P66" t="n">
        <v>2</v>
      </c>
      <c r="Q66" t="n">
        <v>3</v>
      </c>
      <c r="R66" s="2" t="inlineStr">
        <is>
          <t>Falsk guldskivlav
Garderönn
Apollofjäril</t>
        </is>
      </c>
      <c r="S66">
        <f>HYPERLINK("https://klasma.github.io/Logging_0980/artfynd/A 66053-2019 artfynd.xlsx", "A 66053-2019")</f>
        <v/>
      </c>
      <c r="T66">
        <f>HYPERLINK("https://klasma.github.io/Logging_0980/kartor/A 66053-2019 karta.png", "A 66053-2019")</f>
        <v/>
      </c>
      <c r="V66">
        <f>HYPERLINK("https://klasma.github.io/Logging_0980/klagomål/A 66053-2019 FSC-klagomål.docx", "A 66053-2019")</f>
        <v/>
      </c>
      <c r="W66">
        <f>HYPERLINK("https://klasma.github.io/Logging_0980/klagomålsmail/A 66053-2019 FSC-klagomål mail.docx", "A 66053-2019")</f>
        <v/>
      </c>
      <c r="X66">
        <f>HYPERLINK("https://klasma.github.io/Logging_0980/tillsyn/A 66053-2019 tillsynsbegäran.docx", "A 66053-2019")</f>
        <v/>
      </c>
      <c r="Y66">
        <f>HYPERLINK("https://klasma.github.io/Logging_0980/tillsynsmail/A 66053-2019 tillsynsbegäran mail.docx", "A 66053-2019")</f>
        <v/>
      </c>
    </row>
    <row r="67" ht="15" customHeight="1">
      <c r="A67" t="inlineStr">
        <is>
          <t>A 3218-2020</t>
        </is>
      </c>
      <c r="B67" s="1" t="n">
        <v>43851</v>
      </c>
      <c r="C67" s="1" t="n">
        <v>45224</v>
      </c>
      <c r="D67" t="inlineStr">
        <is>
          <t>GOTLANDS LÄN</t>
        </is>
      </c>
      <c r="E67" t="inlineStr">
        <is>
          <t>GOTLAND</t>
        </is>
      </c>
      <c r="G67" t="n">
        <v>7.8</v>
      </c>
      <c r="H67" t="n">
        <v>3</v>
      </c>
      <c r="I67" t="n">
        <v>0</v>
      </c>
      <c r="J67" t="n">
        <v>0</v>
      </c>
      <c r="K67" t="n">
        <v>0</v>
      </c>
      <c r="L67" t="n">
        <v>0</v>
      </c>
      <c r="M67" t="n">
        <v>0</v>
      </c>
      <c r="N67" t="n">
        <v>0</v>
      </c>
      <c r="O67" t="n">
        <v>0</v>
      </c>
      <c r="P67" t="n">
        <v>0</v>
      </c>
      <c r="Q67" t="n">
        <v>3</v>
      </c>
      <c r="R67" s="2" t="inlineStr">
        <is>
          <t>Åkergroda
Mindre vattensalamander
Vanlig padda</t>
        </is>
      </c>
      <c r="S67">
        <f>HYPERLINK("https://klasma.github.io/Logging_0980/artfynd/A 3218-2020 artfynd.xlsx", "A 3218-2020")</f>
        <v/>
      </c>
      <c r="T67">
        <f>HYPERLINK("https://klasma.github.io/Logging_0980/kartor/A 3218-2020 karta.png", "A 3218-2020")</f>
        <v/>
      </c>
      <c r="V67">
        <f>HYPERLINK("https://klasma.github.io/Logging_0980/klagomål/A 3218-2020 FSC-klagomål.docx", "A 3218-2020")</f>
        <v/>
      </c>
      <c r="W67">
        <f>HYPERLINK("https://klasma.github.io/Logging_0980/klagomålsmail/A 3218-2020 FSC-klagomål mail.docx", "A 3218-2020")</f>
        <v/>
      </c>
      <c r="X67">
        <f>HYPERLINK("https://klasma.github.io/Logging_0980/tillsyn/A 3218-2020 tillsynsbegäran.docx", "A 3218-2020")</f>
        <v/>
      </c>
      <c r="Y67">
        <f>HYPERLINK("https://klasma.github.io/Logging_0980/tillsynsmail/A 3218-2020 tillsynsbegäran mail.docx", "A 3218-2020")</f>
        <v/>
      </c>
    </row>
    <row r="68" ht="15" customHeight="1">
      <c r="A68" t="inlineStr">
        <is>
          <t>A 7156-2020</t>
        </is>
      </c>
      <c r="B68" s="1" t="n">
        <v>43870</v>
      </c>
      <c r="C68" s="1" t="n">
        <v>45224</v>
      </c>
      <c r="D68" t="inlineStr">
        <is>
          <t>GOTLANDS LÄN</t>
        </is>
      </c>
      <c r="E68" t="inlineStr">
        <is>
          <t>GOTLAND</t>
        </is>
      </c>
      <c r="G68" t="n">
        <v>1.5</v>
      </c>
      <c r="H68" t="n">
        <v>1</v>
      </c>
      <c r="I68" t="n">
        <v>0</v>
      </c>
      <c r="J68" t="n">
        <v>2</v>
      </c>
      <c r="K68" t="n">
        <v>0</v>
      </c>
      <c r="L68" t="n">
        <v>0</v>
      </c>
      <c r="M68" t="n">
        <v>0</v>
      </c>
      <c r="N68" t="n">
        <v>0</v>
      </c>
      <c r="O68" t="n">
        <v>2</v>
      </c>
      <c r="P68" t="n">
        <v>0</v>
      </c>
      <c r="Q68" t="n">
        <v>3</v>
      </c>
      <c r="R68" s="2" t="inlineStr">
        <is>
          <t>Bolmört
Solvända
Sankt pers nycklar</t>
        </is>
      </c>
      <c r="S68">
        <f>HYPERLINK("https://klasma.github.io/Logging_0980/artfynd/A 7156-2020 artfynd.xlsx", "A 7156-2020")</f>
        <v/>
      </c>
      <c r="T68">
        <f>HYPERLINK("https://klasma.github.io/Logging_0980/kartor/A 7156-2020 karta.png", "A 7156-2020")</f>
        <v/>
      </c>
      <c r="V68">
        <f>HYPERLINK("https://klasma.github.io/Logging_0980/klagomål/A 7156-2020 FSC-klagomål.docx", "A 7156-2020")</f>
        <v/>
      </c>
      <c r="W68">
        <f>HYPERLINK("https://klasma.github.io/Logging_0980/klagomålsmail/A 7156-2020 FSC-klagomål mail.docx", "A 7156-2020")</f>
        <v/>
      </c>
      <c r="X68">
        <f>HYPERLINK("https://klasma.github.io/Logging_0980/tillsyn/A 7156-2020 tillsynsbegäran.docx", "A 7156-2020")</f>
        <v/>
      </c>
      <c r="Y68">
        <f>HYPERLINK("https://klasma.github.io/Logging_0980/tillsynsmail/A 7156-2020 tillsynsbegäran mail.docx", "A 7156-2020")</f>
        <v/>
      </c>
    </row>
    <row r="69" ht="15" customHeight="1">
      <c r="A69" t="inlineStr">
        <is>
          <t>A 10707-2020</t>
        </is>
      </c>
      <c r="B69" s="1" t="n">
        <v>43888</v>
      </c>
      <c r="C69" s="1" t="n">
        <v>45224</v>
      </c>
      <c r="D69" t="inlineStr">
        <is>
          <t>GOTLANDS LÄN</t>
        </is>
      </c>
      <c r="E69" t="inlineStr">
        <is>
          <t>GOTLAND</t>
        </is>
      </c>
      <c r="F69" t="inlineStr">
        <is>
          <t>Övriga statliga verk och myndigheter</t>
        </is>
      </c>
      <c r="G69" t="n">
        <v>27.7</v>
      </c>
      <c r="H69" t="n">
        <v>0</v>
      </c>
      <c r="I69" t="n">
        <v>0</v>
      </c>
      <c r="J69" t="n">
        <v>3</v>
      </c>
      <c r="K69" t="n">
        <v>0</v>
      </c>
      <c r="L69" t="n">
        <v>0</v>
      </c>
      <c r="M69" t="n">
        <v>0</v>
      </c>
      <c r="N69" t="n">
        <v>0</v>
      </c>
      <c r="O69" t="n">
        <v>3</v>
      </c>
      <c r="P69" t="n">
        <v>0</v>
      </c>
      <c r="Q69" t="n">
        <v>3</v>
      </c>
      <c r="R69" s="2" t="inlineStr">
        <is>
          <t>Grådådra
Mindre blåvinge
Ängsnätfjäril</t>
        </is>
      </c>
      <c r="S69">
        <f>HYPERLINK("https://klasma.github.io/Logging_0980/artfynd/A 10707-2020 artfynd.xlsx", "A 10707-2020")</f>
        <v/>
      </c>
      <c r="T69">
        <f>HYPERLINK("https://klasma.github.io/Logging_0980/kartor/A 10707-2020 karta.png", "A 10707-2020")</f>
        <v/>
      </c>
      <c r="V69">
        <f>HYPERLINK("https://klasma.github.io/Logging_0980/klagomål/A 10707-2020 FSC-klagomål.docx", "A 10707-2020")</f>
        <v/>
      </c>
      <c r="W69">
        <f>HYPERLINK("https://klasma.github.io/Logging_0980/klagomålsmail/A 10707-2020 FSC-klagomål mail.docx", "A 10707-2020")</f>
        <v/>
      </c>
      <c r="X69">
        <f>HYPERLINK("https://klasma.github.io/Logging_0980/tillsyn/A 10707-2020 tillsynsbegäran.docx", "A 10707-2020")</f>
        <v/>
      </c>
      <c r="Y69">
        <f>HYPERLINK("https://klasma.github.io/Logging_0980/tillsynsmail/A 10707-2020 tillsynsbegäran mail.docx", "A 10707-2020")</f>
        <v/>
      </c>
    </row>
    <row r="70" ht="15" customHeight="1">
      <c r="A70" t="inlineStr">
        <is>
          <t>A 55029-2020</t>
        </is>
      </c>
      <c r="B70" s="1" t="n">
        <v>44130</v>
      </c>
      <c r="C70" s="1" t="n">
        <v>45224</v>
      </c>
      <c r="D70" t="inlineStr">
        <is>
          <t>GOTLANDS LÄN</t>
        </is>
      </c>
      <c r="E70" t="inlineStr">
        <is>
          <t>GOTLAND</t>
        </is>
      </c>
      <c r="G70" t="n">
        <v>6.9</v>
      </c>
      <c r="H70" t="n">
        <v>1</v>
      </c>
      <c r="I70" t="n">
        <v>2</v>
      </c>
      <c r="J70" t="n">
        <v>1</v>
      </c>
      <c r="K70" t="n">
        <v>0</v>
      </c>
      <c r="L70" t="n">
        <v>0</v>
      </c>
      <c r="M70" t="n">
        <v>0</v>
      </c>
      <c r="N70" t="n">
        <v>0</v>
      </c>
      <c r="O70" t="n">
        <v>1</v>
      </c>
      <c r="P70" t="n">
        <v>0</v>
      </c>
      <c r="Q70" t="n">
        <v>3</v>
      </c>
      <c r="R70" s="2" t="inlineStr">
        <is>
          <t>Dårgräsfjäril
Anisspindling
Granbarkgnagare</t>
        </is>
      </c>
      <c r="S70">
        <f>HYPERLINK("https://klasma.github.io/Logging_0980/artfynd/A 55029-2020 artfynd.xlsx", "A 55029-2020")</f>
        <v/>
      </c>
      <c r="T70">
        <f>HYPERLINK("https://klasma.github.io/Logging_0980/kartor/A 55029-2020 karta.png", "A 55029-2020")</f>
        <v/>
      </c>
      <c r="V70">
        <f>HYPERLINK("https://klasma.github.io/Logging_0980/klagomål/A 55029-2020 FSC-klagomål.docx", "A 55029-2020")</f>
        <v/>
      </c>
      <c r="W70">
        <f>HYPERLINK("https://klasma.github.io/Logging_0980/klagomålsmail/A 55029-2020 FSC-klagomål mail.docx", "A 55029-2020")</f>
        <v/>
      </c>
      <c r="X70">
        <f>HYPERLINK("https://klasma.github.io/Logging_0980/tillsyn/A 55029-2020 tillsynsbegäran.docx", "A 55029-2020")</f>
        <v/>
      </c>
      <c r="Y70">
        <f>HYPERLINK("https://klasma.github.io/Logging_0980/tillsynsmail/A 55029-2020 tillsynsbegäran mail.docx", "A 55029-2020")</f>
        <v/>
      </c>
    </row>
    <row r="71" ht="15" customHeight="1">
      <c r="A71" t="inlineStr">
        <is>
          <t>A 62326-2020</t>
        </is>
      </c>
      <c r="B71" s="1" t="n">
        <v>44160</v>
      </c>
      <c r="C71" s="1" t="n">
        <v>45224</v>
      </c>
      <c r="D71" t="inlineStr">
        <is>
          <t>GOTLANDS LÄN</t>
        </is>
      </c>
      <c r="E71" t="inlineStr">
        <is>
          <t>GOTLAND</t>
        </is>
      </c>
      <c r="G71" t="n">
        <v>7.4</v>
      </c>
      <c r="H71" t="n">
        <v>1</v>
      </c>
      <c r="I71" t="n">
        <v>3</v>
      </c>
      <c r="J71" t="n">
        <v>0</v>
      </c>
      <c r="K71" t="n">
        <v>0</v>
      </c>
      <c r="L71" t="n">
        <v>0</v>
      </c>
      <c r="M71" t="n">
        <v>0</v>
      </c>
      <c r="N71" t="n">
        <v>0</v>
      </c>
      <c r="O71" t="n">
        <v>0</v>
      </c>
      <c r="P71" t="n">
        <v>0</v>
      </c>
      <c r="Q71" t="n">
        <v>3</v>
      </c>
      <c r="R71" s="2" t="inlineStr">
        <is>
          <t>Anisspindling
Blåmossa
Skogsknipprot</t>
        </is>
      </c>
      <c r="S71">
        <f>HYPERLINK("https://klasma.github.io/Logging_0980/artfynd/A 62326-2020 artfynd.xlsx", "A 62326-2020")</f>
        <v/>
      </c>
      <c r="T71">
        <f>HYPERLINK("https://klasma.github.io/Logging_0980/kartor/A 62326-2020 karta.png", "A 62326-2020")</f>
        <v/>
      </c>
      <c r="V71">
        <f>HYPERLINK("https://klasma.github.io/Logging_0980/klagomål/A 62326-2020 FSC-klagomål.docx", "A 62326-2020")</f>
        <v/>
      </c>
      <c r="W71">
        <f>HYPERLINK("https://klasma.github.io/Logging_0980/klagomålsmail/A 62326-2020 FSC-klagomål mail.docx", "A 62326-2020")</f>
        <v/>
      </c>
      <c r="X71">
        <f>HYPERLINK("https://klasma.github.io/Logging_0980/tillsyn/A 62326-2020 tillsynsbegäran.docx", "A 62326-2020")</f>
        <v/>
      </c>
      <c r="Y71">
        <f>HYPERLINK("https://klasma.github.io/Logging_0980/tillsynsmail/A 62326-2020 tillsynsbegäran mail.docx", "A 62326-2020")</f>
        <v/>
      </c>
    </row>
    <row r="72" ht="15" customHeight="1">
      <c r="A72" t="inlineStr">
        <is>
          <t>A 2332-2021</t>
        </is>
      </c>
      <c r="B72" s="1" t="n">
        <v>44214</v>
      </c>
      <c r="C72" s="1" t="n">
        <v>45224</v>
      </c>
      <c r="D72" t="inlineStr">
        <is>
          <t>GOTLANDS LÄN</t>
        </is>
      </c>
      <c r="E72" t="inlineStr">
        <is>
          <t>GOTLAND</t>
        </is>
      </c>
      <c r="G72" t="n">
        <v>2.3</v>
      </c>
      <c r="H72" t="n">
        <v>2</v>
      </c>
      <c r="I72" t="n">
        <v>0</v>
      </c>
      <c r="J72" t="n">
        <v>1</v>
      </c>
      <c r="K72" t="n">
        <v>0</v>
      </c>
      <c r="L72" t="n">
        <v>0</v>
      </c>
      <c r="M72" t="n">
        <v>0</v>
      </c>
      <c r="N72" t="n">
        <v>0</v>
      </c>
      <c r="O72" t="n">
        <v>1</v>
      </c>
      <c r="P72" t="n">
        <v>0</v>
      </c>
      <c r="Q72" t="n">
        <v>3</v>
      </c>
      <c r="R72" s="2" t="inlineStr">
        <is>
          <t>Korpnopping
Sankt pers nycklar
Blåsippa</t>
        </is>
      </c>
      <c r="S72">
        <f>HYPERLINK("https://klasma.github.io/Logging_0980/artfynd/A 2332-2021 artfynd.xlsx", "A 2332-2021")</f>
        <v/>
      </c>
      <c r="T72">
        <f>HYPERLINK("https://klasma.github.io/Logging_0980/kartor/A 2332-2021 karta.png", "A 2332-2021")</f>
        <v/>
      </c>
      <c r="V72">
        <f>HYPERLINK("https://klasma.github.io/Logging_0980/klagomål/A 2332-2021 FSC-klagomål.docx", "A 2332-2021")</f>
        <v/>
      </c>
      <c r="W72">
        <f>HYPERLINK("https://klasma.github.io/Logging_0980/klagomålsmail/A 2332-2021 FSC-klagomål mail.docx", "A 2332-2021")</f>
        <v/>
      </c>
      <c r="X72">
        <f>HYPERLINK("https://klasma.github.io/Logging_0980/tillsyn/A 2332-2021 tillsynsbegäran.docx", "A 2332-2021")</f>
        <v/>
      </c>
      <c r="Y72">
        <f>HYPERLINK("https://klasma.github.io/Logging_0980/tillsynsmail/A 2332-2021 tillsynsbegäran mail.docx", "A 2332-2021")</f>
        <v/>
      </c>
    </row>
    <row r="73" ht="15" customHeight="1">
      <c r="A73" t="inlineStr">
        <is>
          <t>A 12519-2021</t>
        </is>
      </c>
      <c r="B73" s="1" t="n">
        <v>44269</v>
      </c>
      <c r="C73" s="1" t="n">
        <v>45224</v>
      </c>
      <c r="D73" t="inlineStr">
        <is>
          <t>GOTLANDS LÄN</t>
        </is>
      </c>
      <c r="E73" t="inlineStr">
        <is>
          <t>GOTLAND</t>
        </is>
      </c>
      <c r="F73" t="inlineStr">
        <is>
          <t>Kyrkan</t>
        </is>
      </c>
      <c r="G73" t="n">
        <v>3.4</v>
      </c>
      <c r="H73" t="n">
        <v>0</v>
      </c>
      <c r="I73" t="n">
        <v>2</v>
      </c>
      <c r="J73" t="n">
        <v>1</v>
      </c>
      <c r="K73" t="n">
        <v>0</v>
      </c>
      <c r="L73" t="n">
        <v>0</v>
      </c>
      <c r="M73" t="n">
        <v>0</v>
      </c>
      <c r="N73" t="n">
        <v>0</v>
      </c>
      <c r="O73" t="n">
        <v>1</v>
      </c>
      <c r="P73" t="n">
        <v>0</v>
      </c>
      <c r="Q73" t="n">
        <v>3</v>
      </c>
      <c r="R73" s="2" t="inlineStr">
        <is>
          <t>Loppstarr
Rödgul trumpetsvamp
Vågbandad barkbock</t>
        </is>
      </c>
      <c r="S73">
        <f>HYPERLINK("https://klasma.github.io/Logging_0980/artfynd/A 12519-2021 artfynd.xlsx", "A 12519-2021")</f>
        <v/>
      </c>
      <c r="T73">
        <f>HYPERLINK("https://klasma.github.io/Logging_0980/kartor/A 12519-2021 karta.png", "A 12519-2021")</f>
        <v/>
      </c>
      <c r="V73">
        <f>HYPERLINK("https://klasma.github.io/Logging_0980/klagomål/A 12519-2021 FSC-klagomål.docx", "A 12519-2021")</f>
        <v/>
      </c>
      <c r="W73">
        <f>HYPERLINK("https://klasma.github.io/Logging_0980/klagomålsmail/A 12519-2021 FSC-klagomål mail.docx", "A 12519-2021")</f>
        <v/>
      </c>
      <c r="X73">
        <f>HYPERLINK("https://klasma.github.io/Logging_0980/tillsyn/A 12519-2021 tillsynsbegäran.docx", "A 12519-2021")</f>
        <v/>
      </c>
      <c r="Y73">
        <f>HYPERLINK("https://klasma.github.io/Logging_0980/tillsynsmail/A 12519-2021 tillsynsbegäran mail.docx", "A 12519-2021")</f>
        <v/>
      </c>
    </row>
    <row r="74" ht="15" customHeight="1">
      <c r="A74" t="inlineStr">
        <is>
          <t>A 32718-2021</t>
        </is>
      </c>
      <c r="B74" s="1" t="n">
        <v>44375</v>
      </c>
      <c r="C74" s="1" t="n">
        <v>45224</v>
      </c>
      <c r="D74" t="inlineStr">
        <is>
          <t>GOTLANDS LÄN</t>
        </is>
      </c>
      <c r="E74" t="inlineStr">
        <is>
          <t>GOTLAND</t>
        </is>
      </c>
      <c r="G74" t="n">
        <v>2.1</v>
      </c>
      <c r="H74" t="n">
        <v>0</v>
      </c>
      <c r="I74" t="n">
        <v>1</v>
      </c>
      <c r="J74" t="n">
        <v>1</v>
      </c>
      <c r="K74" t="n">
        <v>1</v>
      </c>
      <c r="L74" t="n">
        <v>0</v>
      </c>
      <c r="M74" t="n">
        <v>0</v>
      </c>
      <c r="N74" t="n">
        <v>0</v>
      </c>
      <c r="O74" t="n">
        <v>2</v>
      </c>
      <c r="P74" t="n">
        <v>1</v>
      </c>
      <c r="Q74" t="n">
        <v>3</v>
      </c>
      <c r="R74" s="2" t="inlineStr">
        <is>
          <t>Skogskorn
Skugglosta
Strävlosta</t>
        </is>
      </c>
      <c r="S74">
        <f>HYPERLINK("https://klasma.github.io/Logging_0980/artfynd/A 32718-2021 artfynd.xlsx", "A 32718-2021")</f>
        <v/>
      </c>
      <c r="T74">
        <f>HYPERLINK("https://klasma.github.io/Logging_0980/kartor/A 32718-2021 karta.png", "A 32718-2021")</f>
        <v/>
      </c>
      <c r="V74">
        <f>HYPERLINK("https://klasma.github.io/Logging_0980/klagomål/A 32718-2021 FSC-klagomål.docx", "A 32718-2021")</f>
        <v/>
      </c>
      <c r="W74">
        <f>HYPERLINK("https://klasma.github.io/Logging_0980/klagomålsmail/A 32718-2021 FSC-klagomål mail.docx", "A 32718-2021")</f>
        <v/>
      </c>
      <c r="X74">
        <f>HYPERLINK("https://klasma.github.io/Logging_0980/tillsyn/A 32718-2021 tillsynsbegäran.docx", "A 32718-2021")</f>
        <v/>
      </c>
      <c r="Y74">
        <f>HYPERLINK("https://klasma.github.io/Logging_0980/tillsynsmail/A 32718-2021 tillsynsbegäran mail.docx", "A 32718-2021")</f>
        <v/>
      </c>
    </row>
    <row r="75" ht="15" customHeight="1">
      <c r="A75" t="inlineStr">
        <is>
          <t>A 32666-2021</t>
        </is>
      </c>
      <c r="B75" s="1" t="n">
        <v>44375</v>
      </c>
      <c r="C75" s="1" t="n">
        <v>45224</v>
      </c>
      <c r="D75" t="inlineStr">
        <is>
          <t>GOTLANDS LÄN</t>
        </is>
      </c>
      <c r="E75" t="inlineStr">
        <is>
          <t>GOTLAND</t>
        </is>
      </c>
      <c r="G75" t="n">
        <v>0.9</v>
      </c>
      <c r="H75" t="n">
        <v>1</v>
      </c>
      <c r="I75" t="n">
        <v>2</v>
      </c>
      <c r="J75" t="n">
        <v>0</v>
      </c>
      <c r="K75" t="n">
        <v>1</v>
      </c>
      <c r="L75" t="n">
        <v>0</v>
      </c>
      <c r="M75" t="n">
        <v>0</v>
      </c>
      <c r="N75" t="n">
        <v>0</v>
      </c>
      <c r="O75" t="n">
        <v>1</v>
      </c>
      <c r="P75" t="n">
        <v>1</v>
      </c>
      <c r="Q75" t="n">
        <v>3</v>
      </c>
      <c r="R75" s="2" t="inlineStr">
        <is>
          <t>Skogskorn
Myskmadra
Vit skogslilja</t>
        </is>
      </c>
      <c r="S75">
        <f>HYPERLINK("https://klasma.github.io/Logging_0980/artfynd/A 32666-2021 artfynd.xlsx", "A 32666-2021")</f>
        <v/>
      </c>
      <c r="T75">
        <f>HYPERLINK("https://klasma.github.io/Logging_0980/kartor/A 32666-2021 karta.png", "A 32666-2021")</f>
        <v/>
      </c>
      <c r="V75">
        <f>HYPERLINK("https://klasma.github.io/Logging_0980/klagomål/A 32666-2021 FSC-klagomål.docx", "A 32666-2021")</f>
        <v/>
      </c>
      <c r="W75">
        <f>HYPERLINK("https://klasma.github.io/Logging_0980/klagomålsmail/A 32666-2021 FSC-klagomål mail.docx", "A 32666-2021")</f>
        <v/>
      </c>
      <c r="X75">
        <f>HYPERLINK("https://klasma.github.io/Logging_0980/tillsyn/A 32666-2021 tillsynsbegäran.docx", "A 32666-2021")</f>
        <v/>
      </c>
      <c r="Y75">
        <f>HYPERLINK("https://klasma.github.io/Logging_0980/tillsynsmail/A 32666-2021 tillsynsbegäran mail.docx", "A 32666-2021")</f>
        <v/>
      </c>
    </row>
    <row r="76" ht="15" customHeight="1">
      <c r="A76" t="inlineStr">
        <is>
          <t>A 53552-2021</t>
        </is>
      </c>
      <c r="B76" s="1" t="n">
        <v>44468</v>
      </c>
      <c r="C76" s="1" t="n">
        <v>45224</v>
      </c>
      <c r="D76" t="inlineStr">
        <is>
          <t>GOTLANDS LÄN</t>
        </is>
      </c>
      <c r="E76" t="inlineStr">
        <is>
          <t>GOTLAND</t>
        </is>
      </c>
      <c r="G76" t="n">
        <v>6.2</v>
      </c>
      <c r="H76" t="n">
        <v>2</v>
      </c>
      <c r="I76" t="n">
        <v>0</v>
      </c>
      <c r="J76" t="n">
        <v>1</v>
      </c>
      <c r="K76" t="n">
        <v>0</v>
      </c>
      <c r="L76" t="n">
        <v>0</v>
      </c>
      <c r="M76" t="n">
        <v>0</v>
      </c>
      <c r="N76" t="n">
        <v>0</v>
      </c>
      <c r="O76" t="n">
        <v>1</v>
      </c>
      <c r="P76" t="n">
        <v>0</v>
      </c>
      <c r="Q76" t="n">
        <v>3</v>
      </c>
      <c r="R76" s="2" t="inlineStr">
        <is>
          <t>Bredbrämad bastardsvärmare
Grönvit nattviol
Gullviva</t>
        </is>
      </c>
      <c r="S76">
        <f>HYPERLINK("https://klasma.github.io/Logging_0980/artfynd/A 53552-2021 artfynd.xlsx", "A 53552-2021")</f>
        <v/>
      </c>
      <c r="T76">
        <f>HYPERLINK("https://klasma.github.io/Logging_0980/kartor/A 53552-2021 karta.png", "A 53552-2021")</f>
        <v/>
      </c>
      <c r="V76">
        <f>HYPERLINK("https://klasma.github.io/Logging_0980/klagomål/A 53552-2021 FSC-klagomål.docx", "A 53552-2021")</f>
        <v/>
      </c>
      <c r="W76">
        <f>HYPERLINK("https://klasma.github.io/Logging_0980/klagomålsmail/A 53552-2021 FSC-klagomål mail.docx", "A 53552-2021")</f>
        <v/>
      </c>
      <c r="X76">
        <f>HYPERLINK("https://klasma.github.io/Logging_0980/tillsyn/A 53552-2021 tillsynsbegäran.docx", "A 53552-2021")</f>
        <v/>
      </c>
      <c r="Y76">
        <f>HYPERLINK("https://klasma.github.io/Logging_0980/tillsynsmail/A 53552-2021 tillsynsbegäran mail.docx", "A 53552-2021")</f>
        <v/>
      </c>
    </row>
    <row r="77" ht="15" customHeight="1">
      <c r="A77" t="inlineStr">
        <is>
          <t>A 58821-2021</t>
        </is>
      </c>
      <c r="B77" s="1" t="n">
        <v>44489</v>
      </c>
      <c r="C77" s="1" t="n">
        <v>45224</v>
      </c>
      <c r="D77" t="inlineStr">
        <is>
          <t>GOTLANDS LÄN</t>
        </is>
      </c>
      <c r="E77" t="inlineStr">
        <is>
          <t>GOTLAND</t>
        </is>
      </c>
      <c r="G77" t="n">
        <v>2.5</v>
      </c>
      <c r="H77" t="n">
        <v>3</v>
      </c>
      <c r="I77" t="n">
        <v>1</v>
      </c>
      <c r="J77" t="n">
        <v>2</v>
      </c>
      <c r="K77" t="n">
        <v>0</v>
      </c>
      <c r="L77" t="n">
        <v>0</v>
      </c>
      <c r="M77" t="n">
        <v>0</v>
      </c>
      <c r="N77" t="n">
        <v>0</v>
      </c>
      <c r="O77" t="n">
        <v>2</v>
      </c>
      <c r="P77" t="n">
        <v>0</v>
      </c>
      <c r="Q77" t="n">
        <v>3</v>
      </c>
      <c r="R77" s="2" t="inlineStr">
        <is>
          <t>Apollofjäril
Svartfläckig blåvinge
Nästrot</t>
        </is>
      </c>
      <c r="S77">
        <f>HYPERLINK("https://klasma.github.io/Logging_0980/artfynd/A 58821-2021 artfynd.xlsx", "A 58821-2021")</f>
        <v/>
      </c>
      <c r="T77">
        <f>HYPERLINK("https://klasma.github.io/Logging_0980/kartor/A 58821-2021 karta.png", "A 58821-2021")</f>
        <v/>
      </c>
      <c r="V77">
        <f>HYPERLINK("https://klasma.github.io/Logging_0980/klagomål/A 58821-2021 FSC-klagomål.docx", "A 58821-2021")</f>
        <v/>
      </c>
      <c r="W77">
        <f>HYPERLINK("https://klasma.github.io/Logging_0980/klagomålsmail/A 58821-2021 FSC-klagomål mail.docx", "A 58821-2021")</f>
        <v/>
      </c>
      <c r="X77">
        <f>HYPERLINK("https://klasma.github.io/Logging_0980/tillsyn/A 58821-2021 tillsynsbegäran.docx", "A 58821-2021")</f>
        <v/>
      </c>
      <c r="Y77">
        <f>HYPERLINK("https://klasma.github.io/Logging_0980/tillsynsmail/A 58821-2021 tillsynsbegäran mail.docx", "A 58821-2021")</f>
        <v/>
      </c>
    </row>
    <row r="78" ht="15" customHeight="1">
      <c r="A78" t="inlineStr">
        <is>
          <t>A 43074-2022</t>
        </is>
      </c>
      <c r="B78" s="1" t="n">
        <v>44833</v>
      </c>
      <c r="C78" s="1" t="n">
        <v>45224</v>
      </c>
      <c r="D78" t="inlineStr">
        <is>
          <t>GOTLANDS LÄN</t>
        </is>
      </c>
      <c r="E78" t="inlineStr">
        <is>
          <t>GOTLAND</t>
        </is>
      </c>
      <c r="G78" t="n">
        <v>10.6</v>
      </c>
      <c r="H78" t="n">
        <v>1</v>
      </c>
      <c r="I78" t="n">
        <v>1</v>
      </c>
      <c r="J78" t="n">
        <v>1</v>
      </c>
      <c r="K78" t="n">
        <v>1</v>
      </c>
      <c r="L78" t="n">
        <v>0</v>
      </c>
      <c r="M78" t="n">
        <v>0</v>
      </c>
      <c r="N78" t="n">
        <v>0</v>
      </c>
      <c r="O78" t="n">
        <v>2</v>
      </c>
      <c r="P78" t="n">
        <v>1</v>
      </c>
      <c r="Q78" t="n">
        <v>3</v>
      </c>
      <c r="R78" s="2" t="inlineStr">
        <is>
          <t>Väddnätfjäril
Skugglosta
Strävlosta</t>
        </is>
      </c>
      <c r="S78">
        <f>HYPERLINK("https://klasma.github.io/Logging_0980/artfynd/A 43074-2022 artfynd.xlsx", "A 43074-2022")</f>
        <v/>
      </c>
      <c r="T78">
        <f>HYPERLINK("https://klasma.github.io/Logging_0980/kartor/A 43074-2022 karta.png", "A 43074-2022")</f>
        <v/>
      </c>
      <c r="V78">
        <f>HYPERLINK("https://klasma.github.io/Logging_0980/klagomål/A 43074-2022 FSC-klagomål.docx", "A 43074-2022")</f>
        <v/>
      </c>
      <c r="W78">
        <f>HYPERLINK("https://klasma.github.io/Logging_0980/klagomålsmail/A 43074-2022 FSC-klagomål mail.docx", "A 43074-2022")</f>
        <v/>
      </c>
      <c r="X78">
        <f>HYPERLINK("https://klasma.github.io/Logging_0980/tillsyn/A 43074-2022 tillsynsbegäran.docx", "A 43074-2022")</f>
        <v/>
      </c>
      <c r="Y78">
        <f>HYPERLINK("https://klasma.github.io/Logging_0980/tillsynsmail/A 43074-2022 tillsynsbegäran mail.docx", "A 43074-2022")</f>
        <v/>
      </c>
    </row>
    <row r="79" ht="15" customHeight="1">
      <c r="A79" t="inlineStr">
        <is>
          <t>A 43013-2022</t>
        </is>
      </c>
      <c r="B79" s="1" t="n">
        <v>44833</v>
      </c>
      <c r="C79" s="1" t="n">
        <v>45224</v>
      </c>
      <c r="D79" t="inlineStr">
        <is>
          <t>GOTLANDS LÄN</t>
        </is>
      </c>
      <c r="E79" t="inlineStr">
        <is>
          <t>GOTLAND</t>
        </is>
      </c>
      <c r="G79" t="n">
        <v>9.300000000000001</v>
      </c>
      <c r="H79" t="n">
        <v>0</v>
      </c>
      <c r="I79" t="n">
        <v>2</v>
      </c>
      <c r="J79" t="n">
        <v>0</v>
      </c>
      <c r="K79" t="n">
        <v>1</v>
      </c>
      <c r="L79" t="n">
        <v>0</v>
      </c>
      <c r="M79" t="n">
        <v>0</v>
      </c>
      <c r="N79" t="n">
        <v>0</v>
      </c>
      <c r="O79" t="n">
        <v>1</v>
      </c>
      <c r="P79" t="n">
        <v>1</v>
      </c>
      <c r="Q79" t="n">
        <v>3</v>
      </c>
      <c r="R79" s="2" t="inlineStr">
        <is>
          <t>Violettfläckig spindling
Anisspindling
Blå slemspindling</t>
        </is>
      </c>
      <c r="S79">
        <f>HYPERLINK("https://klasma.github.io/Logging_0980/artfynd/A 43013-2022 artfynd.xlsx", "A 43013-2022")</f>
        <v/>
      </c>
      <c r="T79">
        <f>HYPERLINK("https://klasma.github.io/Logging_0980/kartor/A 43013-2022 karta.png", "A 43013-2022")</f>
        <v/>
      </c>
      <c r="V79">
        <f>HYPERLINK("https://klasma.github.io/Logging_0980/klagomål/A 43013-2022 FSC-klagomål.docx", "A 43013-2022")</f>
        <v/>
      </c>
      <c r="W79">
        <f>HYPERLINK("https://klasma.github.io/Logging_0980/klagomålsmail/A 43013-2022 FSC-klagomål mail.docx", "A 43013-2022")</f>
        <v/>
      </c>
      <c r="X79">
        <f>HYPERLINK("https://klasma.github.io/Logging_0980/tillsyn/A 43013-2022 tillsynsbegäran.docx", "A 43013-2022")</f>
        <v/>
      </c>
      <c r="Y79">
        <f>HYPERLINK("https://klasma.github.io/Logging_0980/tillsynsmail/A 43013-2022 tillsynsbegäran mail.docx", "A 43013-2022")</f>
        <v/>
      </c>
    </row>
    <row r="80" ht="15" customHeight="1">
      <c r="A80" t="inlineStr">
        <is>
          <t>A 44913-2022</t>
        </is>
      </c>
      <c r="B80" s="1" t="n">
        <v>44841</v>
      </c>
      <c r="C80" s="1" t="n">
        <v>45224</v>
      </c>
      <c r="D80" t="inlineStr">
        <is>
          <t>GOTLANDS LÄN</t>
        </is>
      </c>
      <c r="E80" t="inlineStr">
        <is>
          <t>GOTLAND</t>
        </is>
      </c>
      <c r="G80" t="n">
        <v>8.800000000000001</v>
      </c>
      <c r="H80" t="n">
        <v>1</v>
      </c>
      <c r="I80" t="n">
        <v>1</v>
      </c>
      <c r="J80" t="n">
        <v>1</v>
      </c>
      <c r="K80" t="n">
        <v>0</v>
      </c>
      <c r="L80" t="n">
        <v>0</v>
      </c>
      <c r="M80" t="n">
        <v>0</v>
      </c>
      <c r="N80" t="n">
        <v>0</v>
      </c>
      <c r="O80" t="n">
        <v>1</v>
      </c>
      <c r="P80" t="n">
        <v>0</v>
      </c>
      <c r="Q80" t="n">
        <v>3</v>
      </c>
      <c r="R80" s="2" t="inlineStr">
        <is>
          <t>Odörspindling
Granbarkgnagare
Kärrknipprot</t>
        </is>
      </c>
      <c r="S80">
        <f>HYPERLINK("https://klasma.github.io/Logging_0980/artfynd/A 44913-2022 artfynd.xlsx", "A 44913-2022")</f>
        <v/>
      </c>
      <c r="T80">
        <f>HYPERLINK("https://klasma.github.io/Logging_0980/kartor/A 44913-2022 karta.png", "A 44913-2022")</f>
        <v/>
      </c>
      <c r="V80">
        <f>HYPERLINK("https://klasma.github.io/Logging_0980/klagomål/A 44913-2022 FSC-klagomål.docx", "A 44913-2022")</f>
        <v/>
      </c>
      <c r="W80">
        <f>HYPERLINK("https://klasma.github.io/Logging_0980/klagomålsmail/A 44913-2022 FSC-klagomål mail.docx", "A 44913-2022")</f>
        <v/>
      </c>
      <c r="X80">
        <f>HYPERLINK("https://klasma.github.io/Logging_0980/tillsyn/A 44913-2022 tillsynsbegäran.docx", "A 44913-2022")</f>
        <v/>
      </c>
      <c r="Y80">
        <f>HYPERLINK("https://klasma.github.io/Logging_0980/tillsynsmail/A 44913-2022 tillsynsbegäran mail.docx", "A 44913-2022")</f>
        <v/>
      </c>
    </row>
    <row r="81" ht="15" customHeight="1">
      <c r="A81" t="inlineStr">
        <is>
          <t>A 49809-2022</t>
        </is>
      </c>
      <c r="B81" s="1" t="n">
        <v>44862</v>
      </c>
      <c r="C81" s="1" t="n">
        <v>45224</v>
      </c>
      <c r="D81" t="inlineStr">
        <is>
          <t>GOTLANDS LÄN</t>
        </is>
      </c>
      <c r="E81" t="inlineStr">
        <is>
          <t>GOTLAND</t>
        </is>
      </c>
      <c r="F81" t="inlineStr">
        <is>
          <t>Kyrkan</t>
        </is>
      </c>
      <c r="G81" t="n">
        <v>5.2</v>
      </c>
      <c r="H81" t="n">
        <v>0</v>
      </c>
      <c r="I81" t="n">
        <v>2</v>
      </c>
      <c r="J81" t="n">
        <v>1</v>
      </c>
      <c r="K81" t="n">
        <v>0</v>
      </c>
      <c r="L81" t="n">
        <v>0</v>
      </c>
      <c r="M81" t="n">
        <v>0</v>
      </c>
      <c r="N81" t="n">
        <v>0</v>
      </c>
      <c r="O81" t="n">
        <v>1</v>
      </c>
      <c r="P81" t="n">
        <v>0</v>
      </c>
      <c r="Q81" t="n">
        <v>3</v>
      </c>
      <c r="R81" s="2" t="inlineStr">
        <is>
          <t>Majviva
Axag
Rödgul trumpetsvamp</t>
        </is>
      </c>
      <c r="S81">
        <f>HYPERLINK("https://klasma.github.io/Logging_0980/artfynd/A 49809-2022 artfynd.xlsx", "A 49809-2022")</f>
        <v/>
      </c>
      <c r="T81">
        <f>HYPERLINK("https://klasma.github.io/Logging_0980/kartor/A 49809-2022 karta.png", "A 49809-2022")</f>
        <v/>
      </c>
      <c r="V81">
        <f>HYPERLINK("https://klasma.github.io/Logging_0980/klagomål/A 49809-2022 FSC-klagomål.docx", "A 49809-2022")</f>
        <v/>
      </c>
      <c r="W81">
        <f>HYPERLINK("https://klasma.github.io/Logging_0980/klagomålsmail/A 49809-2022 FSC-klagomål mail.docx", "A 49809-2022")</f>
        <v/>
      </c>
      <c r="X81">
        <f>HYPERLINK("https://klasma.github.io/Logging_0980/tillsyn/A 49809-2022 tillsynsbegäran.docx", "A 49809-2022")</f>
        <v/>
      </c>
      <c r="Y81">
        <f>HYPERLINK("https://klasma.github.io/Logging_0980/tillsynsmail/A 49809-2022 tillsynsbegäran mail.docx", "A 49809-2022")</f>
        <v/>
      </c>
    </row>
    <row r="82" ht="15" customHeight="1">
      <c r="A82" t="inlineStr">
        <is>
          <t>A 1971-2023</t>
        </is>
      </c>
      <c r="B82" s="1" t="n">
        <v>44939</v>
      </c>
      <c r="C82" s="1" t="n">
        <v>45224</v>
      </c>
      <c r="D82" t="inlineStr">
        <is>
          <t>GOTLANDS LÄN</t>
        </is>
      </c>
      <c r="E82" t="inlineStr">
        <is>
          <t>GOTLAND</t>
        </is>
      </c>
      <c r="G82" t="n">
        <v>5.5</v>
      </c>
      <c r="H82" t="n">
        <v>0</v>
      </c>
      <c r="I82" t="n">
        <v>2</v>
      </c>
      <c r="J82" t="n">
        <v>0</v>
      </c>
      <c r="K82" t="n">
        <v>1</v>
      </c>
      <c r="L82" t="n">
        <v>0</v>
      </c>
      <c r="M82" t="n">
        <v>0</v>
      </c>
      <c r="N82" t="n">
        <v>0</v>
      </c>
      <c r="O82" t="n">
        <v>1</v>
      </c>
      <c r="P82" t="n">
        <v>1</v>
      </c>
      <c r="Q82" t="n">
        <v>3</v>
      </c>
      <c r="R82" s="2" t="inlineStr">
        <is>
          <t>Gulsträngad fagerspindling
Fjällig taggsvamp s.str.
Olivspindling</t>
        </is>
      </c>
      <c r="S82">
        <f>HYPERLINK("https://klasma.github.io/Logging_0980/artfynd/A 1971-2023 artfynd.xlsx", "A 1971-2023")</f>
        <v/>
      </c>
      <c r="T82">
        <f>HYPERLINK("https://klasma.github.io/Logging_0980/kartor/A 1971-2023 karta.png", "A 1971-2023")</f>
        <v/>
      </c>
      <c r="V82">
        <f>HYPERLINK("https://klasma.github.io/Logging_0980/klagomål/A 1971-2023 FSC-klagomål.docx", "A 1971-2023")</f>
        <v/>
      </c>
      <c r="W82">
        <f>HYPERLINK("https://klasma.github.io/Logging_0980/klagomålsmail/A 1971-2023 FSC-klagomål mail.docx", "A 1971-2023")</f>
        <v/>
      </c>
      <c r="X82">
        <f>HYPERLINK("https://klasma.github.io/Logging_0980/tillsyn/A 1971-2023 tillsynsbegäran.docx", "A 1971-2023")</f>
        <v/>
      </c>
      <c r="Y82">
        <f>HYPERLINK("https://klasma.github.io/Logging_0980/tillsynsmail/A 1971-2023 tillsynsbegäran mail.docx", "A 1971-2023")</f>
        <v/>
      </c>
    </row>
    <row r="83" ht="15" customHeight="1">
      <c r="A83" t="inlineStr">
        <is>
          <t>A 17982-2023</t>
        </is>
      </c>
      <c r="B83" s="1" t="n">
        <v>45040</v>
      </c>
      <c r="C83" s="1" t="n">
        <v>45224</v>
      </c>
      <c r="D83" t="inlineStr">
        <is>
          <t>GOTLANDS LÄN</t>
        </is>
      </c>
      <c r="E83" t="inlineStr">
        <is>
          <t>GOTLAND</t>
        </is>
      </c>
      <c r="G83" t="n">
        <v>2.2</v>
      </c>
      <c r="H83" t="n">
        <v>0</v>
      </c>
      <c r="I83" t="n">
        <v>0</v>
      </c>
      <c r="J83" t="n">
        <v>2</v>
      </c>
      <c r="K83" t="n">
        <v>0</v>
      </c>
      <c r="L83" t="n">
        <v>0</v>
      </c>
      <c r="M83" t="n">
        <v>1</v>
      </c>
      <c r="N83" t="n">
        <v>0</v>
      </c>
      <c r="O83" t="n">
        <v>3</v>
      </c>
      <c r="P83" t="n">
        <v>1</v>
      </c>
      <c r="Q83" t="n">
        <v>3</v>
      </c>
      <c r="R83" s="2" t="inlineStr">
        <is>
          <t>Lundalm
Krusfrö
Ängsskära</t>
        </is>
      </c>
      <c r="S83">
        <f>HYPERLINK("https://klasma.github.io/Logging_0980/artfynd/A 17982-2023 artfynd.xlsx", "A 17982-2023")</f>
        <v/>
      </c>
      <c r="T83">
        <f>HYPERLINK("https://klasma.github.io/Logging_0980/kartor/A 17982-2023 karta.png", "A 17982-2023")</f>
        <v/>
      </c>
      <c r="V83">
        <f>HYPERLINK("https://klasma.github.io/Logging_0980/klagomål/A 17982-2023 FSC-klagomål.docx", "A 17982-2023")</f>
        <v/>
      </c>
      <c r="W83">
        <f>HYPERLINK("https://klasma.github.io/Logging_0980/klagomålsmail/A 17982-2023 FSC-klagomål mail.docx", "A 17982-2023")</f>
        <v/>
      </c>
      <c r="X83">
        <f>HYPERLINK("https://klasma.github.io/Logging_0980/tillsyn/A 17982-2023 tillsynsbegäran.docx", "A 17982-2023")</f>
        <v/>
      </c>
      <c r="Y83">
        <f>HYPERLINK("https://klasma.github.io/Logging_0980/tillsynsmail/A 17982-2023 tillsynsbegäran mail.docx", "A 17982-2023")</f>
        <v/>
      </c>
    </row>
    <row r="84" ht="15" customHeight="1">
      <c r="A84" t="inlineStr">
        <is>
          <t>A 27041-2023</t>
        </is>
      </c>
      <c r="B84" s="1" t="n">
        <v>45095</v>
      </c>
      <c r="C84" s="1" t="n">
        <v>45224</v>
      </c>
      <c r="D84" t="inlineStr">
        <is>
          <t>GOTLANDS LÄN</t>
        </is>
      </c>
      <c r="E84" t="inlineStr">
        <is>
          <t>GOTLAND</t>
        </is>
      </c>
      <c r="G84" t="n">
        <v>5.3</v>
      </c>
      <c r="H84" t="n">
        <v>0</v>
      </c>
      <c r="I84" t="n">
        <v>2</v>
      </c>
      <c r="J84" t="n">
        <v>1</v>
      </c>
      <c r="K84" t="n">
        <v>0</v>
      </c>
      <c r="L84" t="n">
        <v>0</v>
      </c>
      <c r="M84" t="n">
        <v>0</v>
      </c>
      <c r="N84" t="n">
        <v>0</v>
      </c>
      <c r="O84" t="n">
        <v>1</v>
      </c>
      <c r="P84" t="n">
        <v>0</v>
      </c>
      <c r="Q84" t="n">
        <v>3</v>
      </c>
      <c r="R84" s="2" t="inlineStr">
        <is>
          <t>Odörspindling
Anisspindling
Besk kastanjemusseron</t>
        </is>
      </c>
      <c r="S84">
        <f>HYPERLINK("https://klasma.github.io/Logging_0980/artfynd/A 27041-2023 artfynd.xlsx", "A 27041-2023")</f>
        <v/>
      </c>
      <c r="T84">
        <f>HYPERLINK("https://klasma.github.io/Logging_0980/kartor/A 27041-2023 karta.png", "A 27041-2023")</f>
        <v/>
      </c>
      <c r="V84">
        <f>HYPERLINK("https://klasma.github.io/Logging_0980/klagomål/A 27041-2023 FSC-klagomål.docx", "A 27041-2023")</f>
        <v/>
      </c>
      <c r="W84">
        <f>HYPERLINK("https://klasma.github.io/Logging_0980/klagomålsmail/A 27041-2023 FSC-klagomål mail.docx", "A 27041-2023")</f>
        <v/>
      </c>
      <c r="X84">
        <f>HYPERLINK("https://klasma.github.io/Logging_0980/tillsyn/A 27041-2023 tillsynsbegäran.docx", "A 27041-2023")</f>
        <v/>
      </c>
      <c r="Y84">
        <f>HYPERLINK("https://klasma.github.io/Logging_0980/tillsynsmail/A 27041-2023 tillsynsbegäran mail.docx", "A 27041-2023")</f>
        <v/>
      </c>
    </row>
    <row r="85" ht="15" customHeight="1">
      <c r="A85" t="inlineStr">
        <is>
          <t>A 40678-2018</t>
        </is>
      </c>
      <c r="B85" s="1" t="n">
        <v>43346</v>
      </c>
      <c r="C85" s="1" t="n">
        <v>45224</v>
      </c>
      <c r="D85" t="inlineStr">
        <is>
          <t>GOTLANDS LÄN</t>
        </is>
      </c>
      <c r="E85" t="inlineStr">
        <is>
          <t>GOTLAND</t>
        </is>
      </c>
      <c r="G85" t="n">
        <v>1.6</v>
      </c>
      <c r="H85" t="n">
        <v>1</v>
      </c>
      <c r="I85" t="n">
        <v>2</v>
      </c>
      <c r="J85" t="n">
        <v>0</v>
      </c>
      <c r="K85" t="n">
        <v>0</v>
      </c>
      <c r="L85" t="n">
        <v>0</v>
      </c>
      <c r="M85" t="n">
        <v>0</v>
      </c>
      <c r="N85" t="n">
        <v>0</v>
      </c>
      <c r="O85" t="n">
        <v>0</v>
      </c>
      <c r="P85" t="n">
        <v>0</v>
      </c>
      <c r="Q85" t="n">
        <v>2</v>
      </c>
      <c r="R85" s="2" t="inlineStr">
        <is>
          <t>Kattfotslav
Tvåblad</t>
        </is>
      </c>
      <c r="S85">
        <f>HYPERLINK("https://klasma.github.io/Logging_0980/artfynd/A 40678-2018 artfynd.xlsx", "A 40678-2018")</f>
        <v/>
      </c>
      <c r="T85">
        <f>HYPERLINK("https://klasma.github.io/Logging_0980/kartor/A 40678-2018 karta.png", "A 40678-2018")</f>
        <v/>
      </c>
      <c r="V85">
        <f>HYPERLINK("https://klasma.github.io/Logging_0980/klagomål/A 40678-2018 FSC-klagomål.docx", "A 40678-2018")</f>
        <v/>
      </c>
      <c r="W85">
        <f>HYPERLINK("https://klasma.github.io/Logging_0980/klagomålsmail/A 40678-2018 FSC-klagomål mail.docx", "A 40678-2018")</f>
        <v/>
      </c>
      <c r="X85">
        <f>HYPERLINK("https://klasma.github.io/Logging_0980/tillsyn/A 40678-2018 tillsynsbegäran.docx", "A 40678-2018")</f>
        <v/>
      </c>
      <c r="Y85">
        <f>HYPERLINK("https://klasma.github.io/Logging_0980/tillsynsmail/A 40678-2018 tillsynsbegäran mail.docx", "A 40678-2018")</f>
        <v/>
      </c>
    </row>
    <row r="86" ht="15" customHeight="1">
      <c r="A86" t="inlineStr">
        <is>
          <t>A 13891-2019</t>
        </is>
      </c>
      <c r="B86" s="1" t="n">
        <v>43531</v>
      </c>
      <c r="C86" s="1" t="n">
        <v>45224</v>
      </c>
      <c r="D86" t="inlineStr">
        <is>
          <t>GOTLANDS LÄN</t>
        </is>
      </c>
      <c r="E86" t="inlineStr">
        <is>
          <t>GOTLAND</t>
        </is>
      </c>
      <c r="G86" t="n">
        <v>14.5</v>
      </c>
      <c r="H86" t="n">
        <v>0</v>
      </c>
      <c r="I86" t="n">
        <v>1</v>
      </c>
      <c r="J86" t="n">
        <v>1</v>
      </c>
      <c r="K86" t="n">
        <v>0</v>
      </c>
      <c r="L86" t="n">
        <v>0</v>
      </c>
      <c r="M86" t="n">
        <v>0</v>
      </c>
      <c r="N86" t="n">
        <v>0</v>
      </c>
      <c r="O86" t="n">
        <v>1</v>
      </c>
      <c r="P86" t="n">
        <v>0</v>
      </c>
      <c r="Q86" t="n">
        <v>2</v>
      </c>
      <c r="R86" s="2" t="inlineStr">
        <is>
          <t>Tallticka
Blåmossa</t>
        </is>
      </c>
      <c r="S86">
        <f>HYPERLINK("https://klasma.github.io/Logging_0980/artfynd/A 13891-2019 artfynd.xlsx", "A 13891-2019")</f>
        <v/>
      </c>
      <c r="T86">
        <f>HYPERLINK("https://klasma.github.io/Logging_0980/kartor/A 13891-2019 karta.png", "A 13891-2019")</f>
        <v/>
      </c>
      <c r="V86">
        <f>HYPERLINK("https://klasma.github.io/Logging_0980/klagomål/A 13891-2019 FSC-klagomål.docx", "A 13891-2019")</f>
        <v/>
      </c>
      <c r="W86">
        <f>HYPERLINK("https://klasma.github.io/Logging_0980/klagomålsmail/A 13891-2019 FSC-klagomål mail.docx", "A 13891-2019")</f>
        <v/>
      </c>
      <c r="X86">
        <f>HYPERLINK("https://klasma.github.io/Logging_0980/tillsyn/A 13891-2019 tillsynsbegäran.docx", "A 13891-2019")</f>
        <v/>
      </c>
      <c r="Y86">
        <f>HYPERLINK("https://klasma.github.io/Logging_0980/tillsynsmail/A 13891-2019 tillsynsbegäran mail.docx", "A 13891-2019")</f>
        <v/>
      </c>
    </row>
    <row r="87" ht="15" customHeight="1">
      <c r="A87" t="inlineStr">
        <is>
          <t>A 32966-2019</t>
        </is>
      </c>
      <c r="B87" s="1" t="n">
        <v>43648</v>
      </c>
      <c r="C87" s="1" t="n">
        <v>45224</v>
      </c>
      <c r="D87" t="inlineStr">
        <is>
          <t>GOTLANDS LÄN</t>
        </is>
      </c>
      <c r="E87" t="inlineStr">
        <is>
          <t>GOTLAND</t>
        </is>
      </c>
      <c r="G87" t="n">
        <v>4</v>
      </c>
      <c r="H87" t="n">
        <v>1</v>
      </c>
      <c r="I87" t="n">
        <v>1</v>
      </c>
      <c r="J87" t="n">
        <v>0</v>
      </c>
      <c r="K87" t="n">
        <v>0</v>
      </c>
      <c r="L87" t="n">
        <v>0</v>
      </c>
      <c r="M87" t="n">
        <v>0</v>
      </c>
      <c r="N87" t="n">
        <v>0</v>
      </c>
      <c r="O87" t="n">
        <v>0</v>
      </c>
      <c r="P87" t="n">
        <v>0</v>
      </c>
      <c r="Q87" t="n">
        <v>2</v>
      </c>
      <c r="R87" s="2" t="inlineStr">
        <is>
          <t>Kattfotslav
Blåsippa</t>
        </is>
      </c>
      <c r="S87">
        <f>HYPERLINK("https://klasma.github.io/Logging_0980/artfynd/A 32966-2019 artfynd.xlsx", "A 32966-2019")</f>
        <v/>
      </c>
      <c r="T87">
        <f>HYPERLINK("https://klasma.github.io/Logging_0980/kartor/A 32966-2019 karta.png", "A 32966-2019")</f>
        <v/>
      </c>
      <c r="V87">
        <f>HYPERLINK("https://klasma.github.io/Logging_0980/klagomål/A 32966-2019 FSC-klagomål.docx", "A 32966-2019")</f>
        <v/>
      </c>
      <c r="W87">
        <f>HYPERLINK("https://klasma.github.io/Logging_0980/klagomålsmail/A 32966-2019 FSC-klagomål mail.docx", "A 32966-2019")</f>
        <v/>
      </c>
      <c r="X87">
        <f>HYPERLINK("https://klasma.github.io/Logging_0980/tillsyn/A 32966-2019 tillsynsbegäran.docx", "A 32966-2019")</f>
        <v/>
      </c>
      <c r="Y87">
        <f>HYPERLINK("https://klasma.github.io/Logging_0980/tillsynsmail/A 32966-2019 tillsynsbegäran mail.docx", "A 32966-2019")</f>
        <v/>
      </c>
    </row>
    <row r="88" ht="15" customHeight="1">
      <c r="A88" t="inlineStr">
        <is>
          <t>A 32969-2019</t>
        </is>
      </c>
      <c r="B88" s="1" t="n">
        <v>43648</v>
      </c>
      <c r="C88" s="1" t="n">
        <v>45224</v>
      </c>
      <c r="D88" t="inlineStr">
        <is>
          <t>GOTLANDS LÄN</t>
        </is>
      </c>
      <c r="E88" t="inlineStr">
        <is>
          <t>GOTLAND</t>
        </is>
      </c>
      <c r="G88" t="n">
        <v>5.1</v>
      </c>
      <c r="H88" t="n">
        <v>0</v>
      </c>
      <c r="I88" t="n">
        <v>1</v>
      </c>
      <c r="J88" t="n">
        <v>1</v>
      </c>
      <c r="K88" t="n">
        <v>0</v>
      </c>
      <c r="L88" t="n">
        <v>0</v>
      </c>
      <c r="M88" t="n">
        <v>0</v>
      </c>
      <c r="N88" t="n">
        <v>0</v>
      </c>
      <c r="O88" t="n">
        <v>1</v>
      </c>
      <c r="P88" t="n">
        <v>0</v>
      </c>
      <c r="Q88" t="n">
        <v>2</v>
      </c>
      <c r="R88" s="2" t="inlineStr">
        <is>
          <t>Odörspindling
Anisspindling</t>
        </is>
      </c>
      <c r="S88">
        <f>HYPERLINK("https://klasma.github.io/Logging_0980/artfynd/A 32969-2019 artfynd.xlsx", "A 32969-2019")</f>
        <v/>
      </c>
      <c r="T88">
        <f>HYPERLINK("https://klasma.github.io/Logging_0980/kartor/A 32969-2019 karta.png", "A 32969-2019")</f>
        <v/>
      </c>
      <c r="V88">
        <f>HYPERLINK("https://klasma.github.io/Logging_0980/klagomål/A 32969-2019 FSC-klagomål.docx", "A 32969-2019")</f>
        <v/>
      </c>
      <c r="W88">
        <f>HYPERLINK("https://klasma.github.io/Logging_0980/klagomålsmail/A 32969-2019 FSC-klagomål mail.docx", "A 32969-2019")</f>
        <v/>
      </c>
      <c r="X88">
        <f>HYPERLINK("https://klasma.github.io/Logging_0980/tillsyn/A 32969-2019 tillsynsbegäran.docx", "A 32969-2019")</f>
        <v/>
      </c>
      <c r="Y88">
        <f>HYPERLINK("https://klasma.github.io/Logging_0980/tillsynsmail/A 32969-2019 tillsynsbegäran mail.docx", "A 32969-2019")</f>
        <v/>
      </c>
    </row>
    <row r="89" ht="15" customHeight="1">
      <c r="A89" t="inlineStr">
        <is>
          <t>A 43304-2019</t>
        </is>
      </c>
      <c r="B89" s="1" t="n">
        <v>43706</v>
      </c>
      <c r="C89" s="1" t="n">
        <v>45224</v>
      </c>
      <c r="D89" t="inlineStr">
        <is>
          <t>GOTLANDS LÄN</t>
        </is>
      </c>
      <c r="E89" t="inlineStr">
        <is>
          <t>GOTLAND</t>
        </is>
      </c>
      <c r="G89" t="n">
        <v>3.2</v>
      </c>
      <c r="H89" t="n">
        <v>2</v>
      </c>
      <c r="I89" t="n">
        <v>1</v>
      </c>
      <c r="J89" t="n">
        <v>0</v>
      </c>
      <c r="K89" t="n">
        <v>0</v>
      </c>
      <c r="L89" t="n">
        <v>0</v>
      </c>
      <c r="M89" t="n">
        <v>0</v>
      </c>
      <c r="N89" t="n">
        <v>0</v>
      </c>
      <c r="O89" t="n">
        <v>0</v>
      </c>
      <c r="P89" t="n">
        <v>0</v>
      </c>
      <c r="Q89" t="n">
        <v>2</v>
      </c>
      <c r="R89" s="2" t="inlineStr">
        <is>
          <t>Skogsknipprot
Blåsippa</t>
        </is>
      </c>
      <c r="S89">
        <f>HYPERLINK("https://klasma.github.io/Logging_0980/artfynd/A 43304-2019 artfynd.xlsx", "A 43304-2019")</f>
        <v/>
      </c>
      <c r="T89">
        <f>HYPERLINK("https://klasma.github.io/Logging_0980/kartor/A 43304-2019 karta.png", "A 43304-2019")</f>
        <v/>
      </c>
      <c r="V89">
        <f>HYPERLINK("https://klasma.github.io/Logging_0980/klagomål/A 43304-2019 FSC-klagomål.docx", "A 43304-2019")</f>
        <v/>
      </c>
      <c r="W89">
        <f>HYPERLINK("https://klasma.github.io/Logging_0980/klagomålsmail/A 43304-2019 FSC-klagomål mail.docx", "A 43304-2019")</f>
        <v/>
      </c>
      <c r="X89">
        <f>HYPERLINK("https://klasma.github.io/Logging_0980/tillsyn/A 43304-2019 tillsynsbegäran.docx", "A 43304-2019")</f>
        <v/>
      </c>
      <c r="Y89">
        <f>HYPERLINK("https://klasma.github.io/Logging_0980/tillsynsmail/A 43304-2019 tillsynsbegäran mail.docx", "A 43304-2019")</f>
        <v/>
      </c>
    </row>
    <row r="90" ht="15" customHeight="1">
      <c r="A90" t="inlineStr">
        <is>
          <t>A 4812-2020</t>
        </is>
      </c>
      <c r="B90" s="1" t="n">
        <v>43852</v>
      </c>
      <c r="C90" s="1" t="n">
        <v>45224</v>
      </c>
      <c r="D90" t="inlineStr">
        <is>
          <t>GOTLANDS LÄN</t>
        </is>
      </c>
      <c r="E90" t="inlineStr">
        <is>
          <t>GOTLAND</t>
        </is>
      </c>
      <c r="G90" t="n">
        <v>3.9</v>
      </c>
      <c r="H90" t="n">
        <v>1</v>
      </c>
      <c r="I90" t="n">
        <v>1</v>
      </c>
      <c r="J90" t="n">
        <v>0</v>
      </c>
      <c r="K90" t="n">
        <v>1</v>
      </c>
      <c r="L90" t="n">
        <v>0</v>
      </c>
      <c r="M90" t="n">
        <v>0</v>
      </c>
      <c r="N90" t="n">
        <v>0</v>
      </c>
      <c r="O90" t="n">
        <v>1</v>
      </c>
      <c r="P90" t="n">
        <v>1</v>
      </c>
      <c r="Q90" t="n">
        <v>2</v>
      </c>
      <c r="R90" s="2" t="inlineStr">
        <is>
          <t>Gotlandsmåra
Nästrot</t>
        </is>
      </c>
      <c r="S90">
        <f>HYPERLINK("https://klasma.github.io/Logging_0980/artfynd/A 4812-2020 artfynd.xlsx", "A 4812-2020")</f>
        <v/>
      </c>
      <c r="T90">
        <f>HYPERLINK("https://klasma.github.io/Logging_0980/kartor/A 4812-2020 karta.png", "A 4812-2020")</f>
        <v/>
      </c>
      <c r="V90">
        <f>HYPERLINK("https://klasma.github.io/Logging_0980/klagomål/A 4812-2020 FSC-klagomål.docx", "A 4812-2020")</f>
        <v/>
      </c>
      <c r="W90">
        <f>HYPERLINK("https://klasma.github.io/Logging_0980/klagomålsmail/A 4812-2020 FSC-klagomål mail.docx", "A 4812-2020")</f>
        <v/>
      </c>
      <c r="X90">
        <f>HYPERLINK("https://klasma.github.io/Logging_0980/tillsyn/A 4812-2020 tillsynsbegäran.docx", "A 4812-2020")</f>
        <v/>
      </c>
      <c r="Y90">
        <f>HYPERLINK("https://klasma.github.io/Logging_0980/tillsynsmail/A 4812-2020 tillsynsbegäran mail.docx", "A 4812-2020")</f>
        <v/>
      </c>
    </row>
    <row r="91" ht="15" customHeight="1">
      <c r="A91" t="inlineStr">
        <is>
          <t>A 40879-2020</t>
        </is>
      </c>
      <c r="B91" s="1" t="n">
        <v>44070</v>
      </c>
      <c r="C91" s="1" t="n">
        <v>45224</v>
      </c>
      <c r="D91" t="inlineStr">
        <is>
          <t>GOTLANDS LÄN</t>
        </is>
      </c>
      <c r="E91" t="inlineStr">
        <is>
          <t>GOTLAND</t>
        </is>
      </c>
      <c r="G91" t="n">
        <v>6.4</v>
      </c>
      <c r="H91" t="n">
        <v>0</v>
      </c>
      <c r="I91" t="n">
        <v>1</v>
      </c>
      <c r="J91" t="n">
        <v>1</v>
      </c>
      <c r="K91" t="n">
        <v>0</v>
      </c>
      <c r="L91" t="n">
        <v>0</v>
      </c>
      <c r="M91" t="n">
        <v>0</v>
      </c>
      <c r="N91" t="n">
        <v>0</v>
      </c>
      <c r="O91" t="n">
        <v>1</v>
      </c>
      <c r="P91" t="n">
        <v>0</v>
      </c>
      <c r="Q91" t="n">
        <v>2</v>
      </c>
      <c r="R91" s="2" t="inlineStr">
        <is>
          <t>Odörspindling
Olivspindling</t>
        </is>
      </c>
      <c r="S91">
        <f>HYPERLINK("https://klasma.github.io/Logging_0980/artfynd/A 40879-2020 artfynd.xlsx", "A 40879-2020")</f>
        <v/>
      </c>
      <c r="T91">
        <f>HYPERLINK("https://klasma.github.io/Logging_0980/kartor/A 40879-2020 karta.png", "A 40879-2020")</f>
        <v/>
      </c>
      <c r="V91">
        <f>HYPERLINK("https://klasma.github.io/Logging_0980/klagomål/A 40879-2020 FSC-klagomål.docx", "A 40879-2020")</f>
        <v/>
      </c>
      <c r="W91">
        <f>HYPERLINK("https://klasma.github.io/Logging_0980/klagomålsmail/A 40879-2020 FSC-klagomål mail.docx", "A 40879-2020")</f>
        <v/>
      </c>
      <c r="X91">
        <f>HYPERLINK("https://klasma.github.io/Logging_0980/tillsyn/A 40879-2020 tillsynsbegäran.docx", "A 40879-2020")</f>
        <v/>
      </c>
      <c r="Y91">
        <f>HYPERLINK("https://klasma.github.io/Logging_0980/tillsynsmail/A 40879-2020 tillsynsbegäran mail.docx", "A 40879-2020")</f>
        <v/>
      </c>
    </row>
    <row r="92" ht="15" customHeight="1">
      <c r="A92" t="inlineStr">
        <is>
          <t>A 43321-2020</t>
        </is>
      </c>
      <c r="B92" s="1" t="n">
        <v>44081</v>
      </c>
      <c r="C92" s="1" t="n">
        <v>45224</v>
      </c>
      <c r="D92" t="inlineStr">
        <is>
          <t>GOTLANDS LÄN</t>
        </is>
      </c>
      <c r="E92" t="inlineStr">
        <is>
          <t>GOTLAND</t>
        </is>
      </c>
      <c r="G92" t="n">
        <v>10</v>
      </c>
      <c r="H92" t="n">
        <v>1</v>
      </c>
      <c r="I92" t="n">
        <v>0</v>
      </c>
      <c r="J92" t="n">
        <v>2</v>
      </c>
      <c r="K92" t="n">
        <v>0</v>
      </c>
      <c r="L92" t="n">
        <v>0</v>
      </c>
      <c r="M92" t="n">
        <v>0</v>
      </c>
      <c r="N92" t="n">
        <v>0</v>
      </c>
      <c r="O92" t="n">
        <v>2</v>
      </c>
      <c r="P92" t="n">
        <v>0</v>
      </c>
      <c r="Q92" t="n">
        <v>2</v>
      </c>
      <c r="R92" s="2" t="inlineStr">
        <is>
          <t>Buskskvätta
Ängsnätfjäril</t>
        </is>
      </c>
      <c r="S92">
        <f>HYPERLINK("https://klasma.github.io/Logging_0980/artfynd/A 43321-2020 artfynd.xlsx", "A 43321-2020")</f>
        <v/>
      </c>
      <c r="T92">
        <f>HYPERLINK("https://klasma.github.io/Logging_0980/kartor/A 43321-2020 karta.png", "A 43321-2020")</f>
        <v/>
      </c>
      <c r="V92">
        <f>HYPERLINK("https://klasma.github.io/Logging_0980/klagomål/A 43321-2020 FSC-klagomål.docx", "A 43321-2020")</f>
        <v/>
      </c>
      <c r="W92">
        <f>HYPERLINK("https://klasma.github.io/Logging_0980/klagomålsmail/A 43321-2020 FSC-klagomål mail.docx", "A 43321-2020")</f>
        <v/>
      </c>
      <c r="X92">
        <f>HYPERLINK("https://klasma.github.io/Logging_0980/tillsyn/A 43321-2020 tillsynsbegäran.docx", "A 43321-2020")</f>
        <v/>
      </c>
      <c r="Y92">
        <f>HYPERLINK("https://klasma.github.io/Logging_0980/tillsynsmail/A 43321-2020 tillsynsbegäran mail.docx", "A 43321-2020")</f>
        <v/>
      </c>
    </row>
    <row r="93" ht="15" customHeight="1">
      <c r="A93" t="inlineStr">
        <is>
          <t>A 58701-2020</t>
        </is>
      </c>
      <c r="B93" s="1" t="n">
        <v>44146</v>
      </c>
      <c r="C93" s="1" t="n">
        <v>45224</v>
      </c>
      <c r="D93" t="inlineStr">
        <is>
          <t>GOTLANDS LÄN</t>
        </is>
      </c>
      <c r="E93" t="inlineStr">
        <is>
          <t>GOTLAND</t>
        </is>
      </c>
      <c r="G93" t="n">
        <v>5.5</v>
      </c>
      <c r="H93" t="n">
        <v>0</v>
      </c>
      <c r="I93" t="n">
        <v>0</v>
      </c>
      <c r="J93" t="n">
        <v>1</v>
      </c>
      <c r="K93" t="n">
        <v>1</v>
      </c>
      <c r="L93" t="n">
        <v>0</v>
      </c>
      <c r="M93" t="n">
        <v>0</v>
      </c>
      <c r="N93" t="n">
        <v>0</v>
      </c>
      <c r="O93" t="n">
        <v>2</v>
      </c>
      <c r="P93" t="n">
        <v>1</v>
      </c>
      <c r="Q93" t="n">
        <v>2</v>
      </c>
      <c r="R93" s="2" t="inlineStr">
        <is>
          <t>Vit taggsvamp
Odörspindling</t>
        </is>
      </c>
      <c r="S93">
        <f>HYPERLINK("https://klasma.github.io/Logging_0980/artfynd/A 58701-2020 artfynd.xlsx", "A 58701-2020")</f>
        <v/>
      </c>
      <c r="T93">
        <f>HYPERLINK("https://klasma.github.io/Logging_0980/kartor/A 58701-2020 karta.png", "A 58701-2020")</f>
        <v/>
      </c>
      <c r="V93">
        <f>HYPERLINK("https://klasma.github.io/Logging_0980/klagomål/A 58701-2020 FSC-klagomål.docx", "A 58701-2020")</f>
        <v/>
      </c>
      <c r="W93">
        <f>HYPERLINK("https://klasma.github.io/Logging_0980/klagomålsmail/A 58701-2020 FSC-klagomål mail.docx", "A 58701-2020")</f>
        <v/>
      </c>
      <c r="X93">
        <f>HYPERLINK("https://klasma.github.io/Logging_0980/tillsyn/A 58701-2020 tillsynsbegäran.docx", "A 58701-2020")</f>
        <v/>
      </c>
      <c r="Y93">
        <f>HYPERLINK("https://klasma.github.io/Logging_0980/tillsynsmail/A 58701-2020 tillsynsbegäran mail.docx", "A 58701-2020")</f>
        <v/>
      </c>
    </row>
    <row r="94" ht="15" customHeight="1">
      <c r="A94" t="inlineStr">
        <is>
          <t>A 64263-2020</t>
        </is>
      </c>
      <c r="B94" s="1" t="n">
        <v>44168</v>
      </c>
      <c r="C94" s="1" t="n">
        <v>45224</v>
      </c>
      <c r="D94" t="inlineStr">
        <is>
          <t>GOTLANDS LÄN</t>
        </is>
      </c>
      <c r="E94" t="inlineStr">
        <is>
          <t>GOTLAND</t>
        </is>
      </c>
      <c r="G94" t="n">
        <v>10.9</v>
      </c>
      <c r="H94" t="n">
        <v>1</v>
      </c>
      <c r="I94" t="n">
        <v>0</v>
      </c>
      <c r="J94" t="n">
        <v>2</v>
      </c>
      <c r="K94" t="n">
        <v>0</v>
      </c>
      <c r="L94" t="n">
        <v>0</v>
      </c>
      <c r="M94" t="n">
        <v>0</v>
      </c>
      <c r="N94" t="n">
        <v>0</v>
      </c>
      <c r="O94" t="n">
        <v>2</v>
      </c>
      <c r="P94" t="n">
        <v>0</v>
      </c>
      <c r="Q94" t="n">
        <v>2</v>
      </c>
      <c r="R94" s="2" t="inlineStr">
        <is>
          <t>Mindre hackspett
Ullticka</t>
        </is>
      </c>
      <c r="S94">
        <f>HYPERLINK("https://klasma.github.io/Logging_0980/artfynd/A 64263-2020 artfynd.xlsx", "A 64263-2020")</f>
        <v/>
      </c>
      <c r="T94">
        <f>HYPERLINK("https://klasma.github.io/Logging_0980/kartor/A 64263-2020 karta.png", "A 64263-2020")</f>
        <v/>
      </c>
      <c r="V94">
        <f>HYPERLINK("https://klasma.github.io/Logging_0980/klagomål/A 64263-2020 FSC-klagomål.docx", "A 64263-2020")</f>
        <v/>
      </c>
      <c r="W94">
        <f>HYPERLINK("https://klasma.github.io/Logging_0980/klagomålsmail/A 64263-2020 FSC-klagomål mail.docx", "A 64263-2020")</f>
        <v/>
      </c>
      <c r="X94">
        <f>HYPERLINK("https://klasma.github.io/Logging_0980/tillsyn/A 64263-2020 tillsynsbegäran.docx", "A 64263-2020")</f>
        <v/>
      </c>
      <c r="Y94">
        <f>HYPERLINK("https://klasma.github.io/Logging_0980/tillsynsmail/A 64263-2020 tillsynsbegäran mail.docx", "A 64263-2020")</f>
        <v/>
      </c>
    </row>
    <row r="95" ht="15" customHeight="1">
      <c r="A95" t="inlineStr">
        <is>
          <t>A 9930-2021</t>
        </is>
      </c>
      <c r="B95" s="1" t="n">
        <v>44252</v>
      </c>
      <c r="C95" s="1" t="n">
        <v>45224</v>
      </c>
      <c r="D95" t="inlineStr">
        <is>
          <t>GOTLANDS LÄN</t>
        </is>
      </c>
      <c r="E95" t="inlineStr">
        <is>
          <t>GOTLAND</t>
        </is>
      </c>
      <c r="G95" t="n">
        <v>1.9</v>
      </c>
      <c r="H95" t="n">
        <v>0</v>
      </c>
      <c r="I95" t="n">
        <v>0</v>
      </c>
      <c r="J95" t="n">
        <v>0</v>
      </c>
      <c r="K95" t="n">
        <v>0</v>
      </c>
      <c r="L95" t="n">
        <v>1</v>
      </c>
      <c r="M95" t="n">
        <v>1</v>
      </c>
      <c r="N95" t="n">
        <v>0</v>
      </c>
      <c r="O95" t="n">
        <v>2</v>
      </c>
      <c r="P95" t="n">
        <v>2</v>
      </c>
      <c r="Q95" t="n">
        <v>2</v>
      </c>
      <c r="R95" s="2" t="inlineStr">
        <is>
          <t>Lundalm
Ask</t>
        </is>
      </c>
      <c r="S95">
        <f>HYPERLINK("https://klasma.github.io/Logging_0980/artfynd/A 9930-2021 artfynd.xlsx", "A 9930-2021")</f>
        <v/>
      </c>
      <c r="T95">
        <f>HYPERLINK("https://klasma.github.io/Logging_0980/kartor/A 9930-2021 karta.png", "A 9930-2021")</f>
        <v/>
      </c>
      <c r="V95">
        <f>HYPERLINK("https://klasma.github.io/Logging_0980/klagomål/A 9930-2021 FSC-klagomål.docx", "A 9930-2021")</f>
        <v/>
      </c>
      <c r="W95">
        <f>HYPERLINK("https://klasma.github.io/Logging_0980/klagomålsmail/A 9930-2021 FSC-klagomål mail.docx", "A 9930-2021")</f>
        <v/>
      </c>
      <c r="X95">
        <f>HYPERLINK("https://klasma.github.io/Logging_0980/tillsyn/A 9930-2021 tillsynsbegäran.docx", "A 9930-2021")</f>
        <v/>
      </c>
      <c r="Y95">
        <f>HYPERLINK("https://klasma.github.io/Logging_0980/tillsynsmail/A 9930-2021 tillsynsbegäran mail.docx", "A 9930-2021")</f>
        <v/>
      </c>
    </row>
    <row r="96" ht="15" customHeight="1">
      <c r="A96" t="inlineStr">
        <is>
          <t>A 16429-2021</t>
        </is>
      </c>
      <c r="B96" s="1" t="n">
        <v>44293</v>
      </c>
      <c r="C96" s="1" t="n">
        <v>45224</v>
      </c>
      <c r="D96" t="inlineStr">
        <is>
          <t>GOTLANDS LÄN</t>
        </is>
      </c>
      <c r="E96" t="inlineStr">
        <is>
          <t>GOTLAND</t>
        </is>
      </c>
      <c r="G96" t="n">
        <v>3.4</v>
      </c>
      <c r="H96" t="n">
        <v>0</v>
      </c>
      <c r="I96" t="n">
        <v>0</v>
      </c>
      <c r="J96" t="n">
        <v>1</v>
      </c>
      <c r="K96" t="n">
        <v>1</v>
      </c>
      <c r="L96" t="n">
        <v>0</v>
      </c>
      <c r="M96" t="n">
        <v>0</v>
      </c>
      <c r="N96" t="n">
        <v>0</v>
      </c>
      <c r="O96" t="n">
        <v>2</v>
      </c>
      <c r="P96" t="n">
        <v>1</v>
      </c>
      <c r="Q96" t="n">
        <v>2</v>
      </c>
      <c r="R96" s="2" t="inlineStr">
        <is>
          <t>Gotlandsmåra
Barrviolspindling</t>
        </is>
      </c>
      <c r="S96">
        <f>HYPERLINK("https://klasma.github.io/Logging_0980/artfynd/A 16429-2021 artfynd.xlsx", "A 16429-2021")</f>
        <v/>
      </c>
      <c r="T96">
        <f>HYPERLINK("https://klasma.github.io/Logging_0980/kartor/A 16429-2021 karta.png", "A 16429-2021")</f>
        <v/>
      </c>
      <c r="V96">
        <f>HYPERLINK("https://klasma.github.io/Logging_0980/klagomål/A 16429-2021 FSC-klagomål.docx", "A 16429-2021")</f>
        <v/>
      </c>
      <c r="W96">
        <f>HYPERLINK("https://klasma.github.io/Logging_0980/klagomålsmail/A 16429-2021 FSC-klagomål mail.docx", "A 16429-2021")</f>
        <v/>
      </c>
      <c r="X96">
        <f>HYPERLINK("https://klasma.github.io/Logging_0980/tillsyn/A 16429-2021 tillsynsbegäran.docx", "A 16429-2021")</f>
        <v/>
      </c>
      <c r="Y96">
        <f>HYPERLINK("https://klasma.github.io/Logging_0980/tillsynsmail/A 16429-2021 tillsynsbegäran mail.docx", "A 16429-2021")</f>
        <v/>
      </c>
    </row>
    <row r="97" ht="15" customHeight="1">
      <c r="A97" t="inlineStr">
        <is>
          <t>A 29870-2021</t>
        </is>
      </c>
      <c r="B97" s="1" t="n">
        <v>44362</v>
      </c>
      <c r="C97" s="1" t="n">
        <v>45224</v>
      </c>
      <c r="D97" t="inlineStr">
        <is>
          <t>GOTLANDS LÄN</t>
        </is>
      </c>
      <c r="E97" t="inlineStr">
        <is>
          <t>GOTLAND</t>
        </is>
      </c>
      <c r="G97" t="n">
        <v>2.4</v>
      </c>
      <c r="H97" t="n">
        <v>0</v>
      </c>
      <c r="I97" t="n">
        <v>1</v>
      </c>
      <c r="J97" t="n">
        <v>0</v>
      </c>
      <c r="K97" t="n">
        <v>1</v>
      </c>
      <c r="L97" t="n">
        <v>0</v>
      </c>
      <c r="M97" t="n">
        <v>0</v>
      </c>
      <c r="N97" t="n">
        <v>0</v>
      </c>
      <c r="O97" t="n">
        <v>1</v>
      </c>
      <c r="P97" t="n">
        <v>1</v>
      </c>
      <c r="Q97" t="n">
        <v>2</v>
      </c>
      <c r="R97" s="2" t="inlineStr">
        <is>
          <t>Blåfotad fagerspindling
Olivspindling</t>
        </is>
      </c>
      <c r="S97">
        <f>HYPERLINK("https://klasma.github.io/Logging_0980/artfynd/A 29870-2021 artfynd.xlsx", "A 29870-2021")</f>
        <v/>
      </c>
      <c r="T97">
        <f>HYPERLINK("https://klasma.github.io/Logging_0980/kartor/A 29870-2021 karta.png", "A 29870-2021")</f>
        <v/>
      </c>
      <c r="V97">
        <f>HYPERLINK("https://klasma.github.io/Logging_0980/klagomål/A 29870-2021 FSC-klagomål.docx", "A 29870-2021")</f>
        <v/>
      </c>
      <c r="W97">
        <f>HYPERLINK("https://klasma.github.io/Logging_0980/klagomålsmail/A 29870-2021 FSC-klagomål mail.docx", "A 29870-2021")</f>
        <v/>
      </c>
      <c r="X97">
        <f>HYPERLINK("https://klasma.github.io/Logging_0980/tillsyn/A 29870-2021 tillsynsbegäran.docx", "A 29870-2021")</f>
        <v/>
      </c>
      <c r="Y97">
        <f>HYPERLINK("https://klasma.github.io/Logging_0980/tillsynsmail/A 29870-2021 tillsynsbegäran mail.docx", "A 29870-2021")</f>
        <v/>
      </c>
    </row>
    <row r="98" ht="15" customHeight="1">
      <c r="A98" t="inlineStr">
        <is>
          <t>A 60665-2021</t>
        </is>
      </c>
      <c r="B98" s="1" t="n">
        <v>44496</v>
      </c>
      <c r="C98" s="1" t="n">
        <v>45224</v>
      </c>
      <c r="D98" t="inlineStr">
        <is>
          <t>GOTLANDS LÄN</t>
        </is>
      </c>
      <c r="E98" t="inlineStr">
        <is>
          <t>GOTLAND</t>
        </is>
      </c>
      <c r="G98" t="n">
        <v>1.6</v>
      </c>
      <c r="H98" t="n">
        <v>0</v>
      </c>
      <c r="I98" t="n">
        <v>0</v>
      </c>
      <c r="J98" t="n">
        <v>0</v>
      </c>
      <c r="K98" t="n">
        <v>1</v>
      </c>
      <c r="L98" t="n">
        <v>1</v>
      </c>
      <c r="M98" t="n">
        <v>0</v>
      </c>
      <c r="N98" t="n">
        <v>0</v>
      </c>
      <c r="O98" t="n">
        <v>2</v>
      </c>
      <c r="P98" t="n">
        <v>2</v>
      </c>
      <c r="Q98" t="n">
        <v>2</v>
      </c>
      <c r="R98" s="2" t="inlineStr">
        <is>
          <t>Ädellav
Skogskorn</t>
        </is>
      </c>
      <c r="S98">
        <f>HYPERLINK("https://klasma.github.io/Logging_0980/artfynd/A 60665-2021 artfynd.xlsx", "A 60665-2021")</f>
        <v/>
      </c>
      <c r="T98">
        <f>HYPERLINK("https://klasma.github.io/Logging_0980/kartor/A 60665-2021 karta.png", "A 60665-2021")</f>
        <v/>
      </c>
      <c r="V98">
        <f>HYPERLINK("https://klasma.github.io/Logging_0980/klagomål/A 60665-2021 FSC-klagomål.docx", "A 60665-2021")</f>
        <v/>
      </c>
      <c r="W98">
        <f>HYPERLINK("https://klasma.github.io/Logging_0980/klagomålsmail/A 60665-2021 FSC-klagomål mail.docx", "A 60665-2021")</f>
        <v/>
      </c>
      <c r="X98">
        <f>HYPERLINK("https://klasma.github.io/Logging_0980/tillsyn/A 60665-2021 tillsynsbegäran.docx", "A 60665-2021")</f>
        <v/>
      </c>
      <c r="Y98">
        <f>HYPERLINK("https://klasma.github.io/Logging_0980/tillsynsmail/A 60665-2021 tillsynsbegäran mail.docx", "A 60665-2021")</f>
        <v/>
      </c>
    </row>
    <row r="99" ht="15" customHeight="1">
      <c r="A99" t="inlineStr">
        <is>
          <t>A 73144-2021</t>
        </is>
      </c>
      <c r="B99" s="1" t="n">
        <v>44550</v>
      </c>
      <c r="C99" s="1" t="n">
        <v>45224</v>
      </c>
      <c r="D99" t="inlineStr">
        <is>
          <t>GOTLANDS LÄN</t>
        </is>
      </c>
      <c r="E99" t="inlineStr">
        <is>
          <t>GOTLAND</t>
        </is>
      </c>
      <c r="G99" t="n">
        <v>1.9</v>
      </c>
      <c r="H99" t="n">
        <v>0</v>
      </c>
      <c r="I99" t="n">
        <v>1</v>
      </c>
      <c r="J99" t="n">
        <v>0</v>
      </c>
      <c r="K99" t="n">
        <v>1</v>
      </c>
      <c r="L99" t="n">
        <v>0</v>
      </c>
      <c r="M99" t="n">
        <v>0</v>
      </c>
      <c r="N99" t="n">
        <v>0</v>
      </c>
      <c r="O99" t="n">
        <v>1</v>
      </c>
      <c r="P99" t="n">
        <v>1</v>
      </c>
      <c r="Q99" t="n">
        <v>2</v>
      </c>
      <c r="R99" s="2" t="inlineStr">
        <is>
          <t>Skogskorn
Kambräken</t>
        </is>
      </c>
      <c r="S99">
        <f>HYPERLINK("https://klasma.github.io/Logging_0980/artfynd/A 73144-2021 artfynd.xlsx", "A 73144-2021")</f>
        <v/>
      </c>
      <c r="T99">
        <f>HYPERLINK("https://klasma.github.io/Logging_0980/kartor/A 73144-2021 karta.png", "A 73144-2021")</f>
        <v/>
      </c>
      <c r="V99">
        <f>HYPERLINK("https://klasma.github.io/Logging_0980/klagomål/A 73144-2021 FSC-klagomål.docx", "A 73144-2021")</f>
        <v/>
      </c>
      <c r="W99">
        <f>HYPERLINK("https://klasma.github.io/Logging_0980/klagomålsmail/A 73144-2021 FSC-klagomål mail.docx", "A 73144-2021")</f>
        <v/>
      </c>
      <c r="X99">
        <f>HYPERLINK("https://klasma.github.io/Logging_0980/tillsyn/A 73144-2021 tillsynsbegäran.docx", "A 73144-2021")</f>
        <v/>
      </c>
      <c r="Y99">
        <f>HYPERLINK("https://klasma.github.io/Logging_0980/tillsynsmail/A 73144-2021 tillsynsbegäran mail.docx", "A 73144-2021")</f>
        <v/>
      </c>
    </row>
    <row r="100" ht="15" customHeight="1">
      <c r="A100" t="inlineStr">
        <is>
          <t>A 7070-2022</t>
        </is>
      </c>
      <c r="B100" s="1" t="n">
        <v>44603</v>
      </c>
      <c r="C100" s="1" t="n">
        <v>45224</v>
      </c>
      <c r="D100" t="inlineStr">
        <is>
          <t>GOTLANDS LÄN</t>
        </is>
      </c>
      <c r="E100" t="inlineStr">
        <is>
          <t>GOTLAND</t>
        </is>
      </c>
      <c r="G100" t="n">
        <v>2.6</v>
      </c>
      <c r="H100" t="n">
        <v>0</v>
      </c>
      <c r="I100" t="n">
        <v>2</v>
      </c>
      <c r="J100" t="n">
        <v>0</v>
      </c>
      <c r="K100" t="n">
        <v>0</v>
      </c>
      <c r="L100" t="n">
        <v>0</v>
      </c>
      <c r="M100" t="n">
        <v>0</v>
      </c>
      <c r="N100" t="n">
        <v>0</v>
      </c>
      <c r="O100" t="n">
        <v>0</v>
      </c>
      <c r="P100" t="n">
        <v>0</v>
      </c>
      <c r="Q100" t="n">
        <v>2</v>
      </c>
      <c r="R100" s="2" t="inlineStr">
        <is>
          <t>Blåmossa
Kattfotslav</t>
        </is>
      </c>
      <c r="S100">
        <f>HYPERLINK("https://klasma.github.io/Logging_0980/artfynd/A 7070-2022 artfynd.xlsx", "A 7070-2022")</f>
        <v/>
      </c>
      <c r="T100">
        <f>HYPERLINK("https://klasma.github.io/Logging_0980/kartor/A 7070-2022 karta.png", "A 7070-2022")</f>
        <v/>
      </c>
      <c r="V100">
        <f>HYPERLINK("https://klasma.github.io/Logging_0980/klagomål/A 7070-2022 FSC-klagomål.docx", "A 7070-2022")</f>
        <v/>
      </c>
      <c r="W100">
        <f>HYPERLINK("https://klasma.github.io/Logging_0980/klagomålsmail/A 7070-2022 FSC-klagomål mail.docx", "A 7070-2022")</f>
        <v/>
      </c>
      <c r="X100">
        <f>HYPERLINK("https://klasma.github.io/Logging_0980/tillsyn/A 7070-2022 tillsynsbegäran.docx", "A 7070-2022")</f>
        <v/>
      </c>
      <c r="Y100">
        <f>HYPERLINK("https://klasma.github.io/Logging_0980/tillsynsmail/A 7070-2022 tillsynsbegäran mail.docx", "A 7070-2022")</f>
        <v/>
      </c>
    </row>
    <row r="101" ht="15" customHeight="1">
      <c r="A101" t="inlineStr">
        <is>
          <t>A 19175-2022</t>
        </is>
      </c>
      <c r="B101" s="1" t="n">
        <v>44691</v>
      </c>
      <c r="C101" s="1" t="n">
        <v>45224</v>
      </c>
      <c r="D101" t="inlineStr">
        <is>
          <t>GOTLANDS LÄN</t>
        </is>
      </c>
      <c r="E101" t="inlineStr">
        <is>
          <t>GOTLAND</t>
        </is>
      </c>
      <c r="G101" t="n">
        <v>8.5</v>
      </c>
      <c r="H101" t="n">
        <v>1</v>
      </c>
      <c r="I101" t="n">
        <v>0</v>
      </c>
      <c r="J101" t="n">
        <v>2</v>
      </c>
      <c r="K101" t="n">
        <v>0</v>
      </c>
      <c r="L101" t="n">
        <v>0</v>
      </c>
      <c r="M101" t="n">
        <v>0</v>
      </c>
      <c r="N101" t="n">
        <v>0</v>
      </c>
      <c r="O101" t="n">
        <v>2</v>
      </c>
      <c r="P101" t="n">
        <v>0</v>
      </c>
      <c r="Q101" t="n">
        <v>2</v>
      </c>
      <c r="R101" s="2" t="inlineStr">
        <is>
          <t>Jordtistel
Spillkråka</t>
        </is>
      </c>
      <c r="S101">
        <f>HYPERLINK("https://klasma.github.io/Logging_0980/artfynd/A 19175-2022 artfynd.xlsx", "A 19175-2022")</f>
        <v/>
      </c>
      <c r="T101">
        <f>HYPERLINK("https://klasma.github.io/Logging_0980/kartor/A 19175-2022 karta.png", "A 19175-2022")</f>
        <v/>
      </c>
      <c r="V101">
        <f>HYPERLINK("https://klasma.github.io/Logging_0980/klagomål/A 19175-2022 FSC-klagomål.docx", "A 19175-2022")</f>
        <v/>
      </c>
      <c r="W101">
        <f>HYPERLINK("https://klasma.github.io/Logging_0980/klagomålsmail/A 19175-2022 FSC-klagomål mail.docx", "A 19175-2022")</f>
        <v/>
      </c>
      <c r="X101">
        <f>HYPERLINK("https://klasma.github.io/Logging_0980/tillsyn/A 19175-2022 tillsynsbegäran.docx", "A 19175-2022")</f>
        <v/>
      </c>
      <c r="Y101">
        <f>HYPERLINK("https://klasma.github.io/Logging_0980/tillsynsmail/A 19175-2022 tillsynsbegäran mail.docx", "A 19175-2022")</f>
        <v/>
      </c>
    </row>
    <row r="102" ht="15" customHeight="1">
      <c r="A102" t="inlineStr">
        <is>
          <t>A 20218-2022</t>
        </is>
      </c>
      <c r="B102" s="1" t="n">
        <v>44698</v>
      </c>
      <c r="C102" s="1" t="n">
        <v>45224</v>
      </c>
      <c r="D102" t="inlineStr">
        <is>
          <t>GOTLANDS LÄN</t>
        </is>
      </c>
      <c r="E102" t="inlineStr">
        <is>
          <t>GOTLAND</t>
        </is>
      </c>
      <c r="G102" t="n">
        <v>4.3</v>
      </c>
      <c r="H102" t="n">
        <v>0</v>
      </c>
      <c r="I102" t="n">
        <v>1</v>
      </c>
      <c r="J102" t="n">
        <v>1</v>
      </c>
      <c r="K102" t="n">
        <v>0</v>
      </c>
      <c r="L102" t="n">
        <v>0</v>
      </c>
      <c r="M102" t="n">
        <v>0</v>
      </c>
      <c r="N102" t="n">
        <v>0</v>
      </c>
      <c r="O102" t="n">
        <v>1</v>
      </c>
      <c r="P102" t="n">
        <v>0</v>
      </c>
      <c r="Q102" t="n">
        <v>2</v>
      </c>
      <c r="R102" s="2" t="inlineStr">
        <is>
          <t>Flattoppad klubbsvamp
Rödgul trumpetsvamp</t>
        </is>
      </c>
      <c r="S102">
        <f>HYPERLINK("https://klasma.github.io/Logging_0980/artfynd/A 20218-2022 artfynd.xlsx", "A 20218-2022")</f>
        <v/>
      </c>
      <c r="T102">
        <f>HYPERLINK("https://klasma.github.io/Logging_0980/kartor/A 20218-2022 karta.png", "A 20218-2022")</f>
        <v/>
      </c>
      <c r="V102">
        <f>HYPERLINK("https://klasma.github.io/Logging_0980/klagomål/A 20218-2022 FSC-klagomål.docx", "A 20218-2022")</f>
        <v/>
      </c>
      <c r="W102">
        <f>HYPERLINK("https://klasma.github.io/Logging_0980/klagomålsmail/A 20218-2022 FSC-klagomål mail.docx", "A 20218-2022")</f>
        <v/>
      </c>
      <c r="X102">
        <f>HYPERLINK("https://klasma.github.io/Logging_0980/tillsyn/A 20218-2022 tillsynsbegäran.docx", "A 20218-2022")</f>
        <v/>
      </c>
      <c r="Y102">
        <f>HYPERLINK("https://klasma.github.io/Logging_0980/tillsynsmail/A 20218-2022 tillsynsbegäran mail.docx", "A 20218-2022")</f>
        <v/>
      </c>
    </row>
    <row r="103" ht="15" customHeight="1">
      <c r="A103" t="inlineStr">
        <is>
          <t>A 44944-2022</t>
        </is>
      </c>
      <c r="B103" s="1" t="n">
        <v>44841</v>
      </c>
      <c r="C103" s="1" t="n">
        <v>45224</v>
      </c>
      <c r="D103" t="inlineStr">
        <is>
          <t>GOTLANDS LÄN</t>
        </is>
      </c>
      <c r="E103" t="inlineStr">
        <is>
          <t>GOTLAND</t>
        </is>
      </c>
      <c r="G103" t="n">
        <v>2.8</v>
      </c>
      <c r="H103" t="n">
        <v>0</v>
      </c>
      <c r="I103" t="n">
        <v>1</v>
      </c>
      <c r="J103" t="n">
        <v>1</v>
      </c>
      <c r="K103" t="n">
        <v>0</v>
      </c>
      <c r="L103" t="n">
        <v>0</v>
      </c>
      <c r="M103" t="n">
        <v>0</v>
      </c>
      <c r="N103" t="n">
        <v>0</v>
      </c>
      <c r="O103" t="n">
        <v>1</v>
      </c>
      <c r="P103" t="n">
        <v>0</v>
      </c>
      <c r="Q103" t="n">
        <v>2</v>
      </c>
      <c r="R103" s="2" t="inlineStr">
        <is>
          <t>Gulfotad denisespindling
Fjällig taggsvamp s.str.</t>
        </is>
      </c>
      <c r="S103">
        <f>HYPERLINK("https://klasma.github.io/Logging_0980/artfynd/A 44944-2022 artfynd.xlsx", "A 44944-2022")</f>
        <v/>
      </c>
      <c r="T103">
        <f>HYPERLINK("https://klasma.github.io/Logging_0980/kartor/A 44944-2022 karta.png", "A 44944-2022")</f>
        <v/>
      </c>
      <c r="V103">
        <f>HYPERLINK("https://klasma.github.io/Logging_0980/klagomål/A 44944-2022 FSC-klagomål.docx", "A 44944-2022")</f>
        <v/>
      </c>
      <c r="W103">
        <f>HYPERLINK("https://klasma.github.io/Logging_0980/klagomålsmail/A 44944-2022 FSC-klagomål mail.docx", "A 44944-2022")</f>
        <v/>
      </c>
      <c r="X103">
        <f>HYPERLINK("https://klasma.github.io/Logging_0980/tillsyn/A 44944-2022 tillsynsbegäran.docx", "A 44944-2022")</f>
        <v/>
      </c>
      <c r="Y103">
        <f>HYPERLINK("https://klasma.github.io/Logging_0980/tillsynsmail/A 44944-2022 tillsynsbegäran mail.docx", "A 44944-2022")</f>
        <v/>
      </c>
    </row>
    <row r="104" ht="15" customHeight="1">
      <c r="A104" t="inlineStr">
        <is>
          <t>A 48126-2022</t>
        </is>
      </c>
      <c r="B104" s="1" t="n">
        <v>44857</v>
      </c>
      <c r="C104" s="1" t="n">
        <v>45224</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45224</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45224</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45224</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45224</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45224</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45224</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45224</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45224</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45224</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45224</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45224</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45224</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45224</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45224</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45224</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45224</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45224</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45224</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45224</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45224</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45224</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45224</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45224</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45224</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45224</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45224</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45224</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45224</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45224</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45224</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45224</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45224</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45224</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45224</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45224</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45224</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45224</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45224</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45224</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45224</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45224</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45224</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45224</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45224</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45224</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45224</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45224</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45224</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45224</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45224</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45224</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45224</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45224</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45224</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45224</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45224</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45224</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45224</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45224</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45224</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45224</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45224</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45224</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45224</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45224</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45224</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45224</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45224</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45224</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45224</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45224</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45224</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45224</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45224</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45224</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45224</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45224</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45224</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45224</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45224</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45224</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45224</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45224</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45224</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45224</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45224</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45224</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45224</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45224</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45224</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45224</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45224</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45224</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45224</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45224</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45224</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45224</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45224</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45224</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45224</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45224</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45224</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45224</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45224</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45224</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45224</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45224</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45224</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45224</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45224</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45224</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45224</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45224</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45224</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45224</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45224</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45224</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45224</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45224</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45224</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45224</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45224</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45224</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45224</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45224</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45224</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45224</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45224</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45224</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45224</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45224</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45224</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45224</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45224</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45224</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45224</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45224</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45224</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45224</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45224</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45224</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45224</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45224</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45224</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45224</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45224</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45224</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45224</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45224</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45224</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45224</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45224</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45224</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45224</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45224</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45224</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45224</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45224</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45224</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45224</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45224</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45224</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45224</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45224</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45224</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45224</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45224</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45224</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45224</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45224</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45224</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45224</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45224</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45224</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45224</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45224</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45224</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45224</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45224</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45224</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45224</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45224</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45224</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45224</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45224</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45224</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45224</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45224</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45224</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45224</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45224</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45224</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45224</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45224</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45224</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45224</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45224</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45224</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45224</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45224</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45224</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45224</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45224</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45224</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45224</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45224</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45224</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45224</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45224</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45224</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45224</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45224</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45224</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45224</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45224</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45224</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45224</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45224</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45224</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45224</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45224</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45224</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45224</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45224</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45224</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45224</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45224</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45224</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45224</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45224</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45224</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45224</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45224</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45224</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45224</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45224</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45224</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45224</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45224</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45224</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45224</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45224</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45224</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45224</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45224</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45224</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45224</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45224</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45224</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45224</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45224</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45224</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45224</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45224</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45224</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45224</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45224</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45224</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45224</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45224</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45224</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45224</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45224</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45224</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45224</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45224</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45224</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45224</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45224</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45224</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45224</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45224</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45224</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45224</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45224</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45224</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45224</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45224</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45224</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45224</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45224</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45224</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45224</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45224</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45224</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45224</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45224</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45224</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45224</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45224</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45224</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45224</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45224</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45224</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45224</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45224</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45224</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45224</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45224</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45224</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45224</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45224</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45224</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45224</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45224</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45224</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45224</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45224</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45224</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45224</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45224</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45224</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45224</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45224</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45224</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45224</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45224</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45224</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45224</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45224</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45224</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45224</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45224</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45224</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45224</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45224</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45224</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45224</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45224</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45224</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45224</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45224</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45224</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45224</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45224</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45224</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45224</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45224</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45224</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45224</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45224</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45224</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45224</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45224</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45224</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45224</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45224</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45224</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45224</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45224</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45224</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45224</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45224</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45224</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45224</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45224</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45224</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45224</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45224</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45224</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45224</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45224</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45224</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45224</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45224</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45224</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45224</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45224</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45224</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45224</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45224</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45224</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45224</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45224</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45224</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45224</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45224</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45224</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45224</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45224</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45224</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45224</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45224</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45224</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45224</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45224</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45224</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45224</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45224</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45224</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45224</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45224</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45224</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45224</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45224</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45224</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45224</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45224</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45224</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45224</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45224</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45224</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45224</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45224</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45224</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45224</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45224</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45224</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45224</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45224</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45224</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45224</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45224</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45224</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45224</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45224</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45224</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45224</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45224</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45224</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45224</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45224</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45224</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45224</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45224</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45224</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45224</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45224</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45224</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45224</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45224</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45224</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2023-10-25T04:53:33Z</dcterms:created>
  <dcterms:modified xmlns:dcterms="http://purl.org/dc/terms/" xmlns:xsi="http://www.w3.org/2001/XMLSchema-instance" xsi:type="dcterms:W3CDTF">2023-10-25T04:53:34Z</dcterms:modified>
</cp:coreProperties>
</file>